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Recuperation\STOP GUINNEE BISSAU\STOP 53 GUINEE BISSAU\2024\Camapanha Sarampo Rubeola\Modulos Formacao\"/>
    </mc:Choice>
  </mc:AlternateContent>
  <xr:revisionPtr revIDLastSave="0" documentId="13_ncr:1_{334CBB64-4705-44CA-9300-90D459A9DB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O RECURSOS HUMANOS " sheetId="16" r:id="rId1"/>
    <sheet name="RECURSOS HUMANOS" sheetId="15" r:id="rId2"/>
    <sheet name="RS BAFATA" sheetId="1" r:id="rId3"/>
    <sheet name="RS BIJAGÓS" sheetId="2" r:id="rId4"/>
    <sheet name="RS BIOMBO" sheetId="3" r:id="rId5"/>
    <sheet name="RS BOLAMA" sheetId="4" r:id="rId6"/>
    <sheet name="RS CACHEU" sheetId="5" r:id="rId7"/>
    <sheet name="RS FARIM" sheetId="6" r:id="rId8"/>
    <sheet name="RS GABU" sheetId="7" r:id="rId9"/>
    <sheet name="RS OIO" sheetId="8" r:id="rId10"/>
    <sheet name="RS QUINARA" sheetId="9" r:id="rId11"/>
    <sheet name="RS SAB" sheetId="10" r:id="rId12"/>
    <sheet name="RS TOMBALI " sheetId="19" r:id="rId13"/>
    <sheet name="NÍVEL CENTRAL" sheetId="12" r:id="rId14"/>
    <sheet name="RESUMO DAS REGIÕES" sheetId="27" r:id="rId15"/>
    <sheet name="RESUMO DE COMBUSTÍVEL CAMPANHA" sheetId="28" r:id="rId16"/>
    <sheet name="_x0009__x0009__x0009__x0009__x0009__x0009__x0009__x0009__x0009__x0009__x0009__x0009__x0009__x0009__x0009__x0009__x0009__x0009__x0009__x0009__x0009__x0009__x0009__x0009__x0009__x0009__x0009__x0009__x0009__x0009__x0009_" sheetId="14" r:id="rId17"/>
  </sheets>
  <externalReferences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6" i="10" l="1"/>
  <c r="D70" i="9"/>
  <c r="D99" i="8"/>
  <c r="D126" i="1"/>
  <c r="G66" i="12"/>
  <c r="H66" i="12"/>
  <c r="D66" i="12"/>
  <c r="D65" i="12"/>
  <c r="G63" i="12"/>
  <c r="H63" i="12"/>
  <c r="D29" i="12"/>
  <c r="D25" i="12"/>
  <c r="D26" i="12"/>
  <c r="D27" i="12"/>
  <c r="D24" i="12"/>
  <c r="D23" i="12"/>
  <c r="D142" i="12"/>
  <c r="G145" i="12"/>
  <c r="D112" i="12"/>
  <c r="D104" i="12"/>
  <c r="G102" i="12"/>
  <c r="H102" i="12" s="1"/>
  <c r="D81" i="12"/>
  <c r="D86" i="12" s="1"/>
  <c r="D10" i="12"/>
  <c r="D102" i="2"/>
  <c r="D210" i="1"/>
  <c r="D170" i="1" l="1"/>
  <c r="D122" i="1"/>
  <c r="J163" i="12"/>
  <c r="J162" i="12"/>
  <c r="J161" i="12"/>
  <c r="J160" i="12"/>
  <c r="J100" i="12"/>
  <c r="J99" i="12"/>
  <c r="J98" i="12"/>
  <c r="J97" i="12"/>
  <c r="J96" i="12"/>
  <c r="J95" i="12"/>
  <c r="J94" i="12"/>
  <c r="J93" i="12"/>
  <c r="J92" i="12"/>
  <c r="J91" i="12"/>
  <c r="J83" i="12"/>
  <c r="J82" i="12"/>
  <c r="J80" i="12"/>
  <c r="J79" i="12"/>
  <c r="J76" i="12"/>
  <c r="J73" i="12"/>
  <c r="J52" i="12"/>
  <c r="J49" i="12"/>
  <c r="J48" i="12"/>
  <c r="J47" i="12"/>
  <c r="J22" i="12"/>
  <c r="J11" i="12"/>
  <c r="J12" i="12"/>
  <c r="J13" i="12"/>
  <c r="J14" i="12"/>
  <c r="J15" i="12"/>
  <c r="J16" i="12"/>
  <c r="J17" i="12"/>
  <c r="J18" i="12"/>
  <c r="J19" i="12"/>
  <c r="J20" i="12"/>
  <c r="J21" i="12"/>
  <c r="J193" i="19"/>
  <c r="J190" i="19"/>
  <c r="J181" i="19"/>
  <c r="J174" i="19"/>
  <c r="J175" i="19"/>
  <c r="J176" i="19"/>
  <c r="J177" i="19"/>
  <c r="J178" i="19"/>
  <c r="J179" i="19"/>
  <c r="J180" i="19"/>
  <c r="J173" i="19"/>
  <c r="J144" i="19"/>
  <c r="J168" i="19"/>
  <c r="J166" i="19"/>
  <c r="J165" i="19"/>
  <c r="J164" i="19"/>
  <c r="J162" i="19"/>
  <c r="J161" i="19"/>
  <c r="J160" i="19"/>
  <c r="J155" i="19"/>
  <c r="J153" i="19"/>
  <c r="J154" i="19"/>
  <c r="J156" i="19"/>
  <c r="J157" i="19"/>
  <c r="J158" i="19"/>
  <c r="J159" i="19"/>
  <c r="J152" i="19"/>
  <c r="J147" i="19"/>
  <c r="J140" i="19"/>
  <c r="J141" i="19"/>
  <c r="J142" i="19"/>
  <c r="J143" i="19"/>
  <c r="J145" i="19"/>
  <c r="J146" i="19"/>
  <c r="J139" i="19"/>
  <c r="J135" i="19"/>
  <c r="J134" i="19"/>
  <c r="J127" i="19"/>
  <c r="J128" i="19"/>
  <c r="J129" i="19"/>
  <c r="J130" i="19"/>
  <c r="J131" i="19"/>
  <c r="J132" i="19"/>
  <c r="J133" i="19"/>
  <c r="J126" i="19"/>
  <c r="J119" i="19"/>
  <c r="J117" i="19"/>
  <c r="J116" i="19"/>
  <c r="J111" i="19"/>
  <c r="J112" i="19"/>
  <c r="J113" i="19"/>
  <c r="J114" i="19"/>
  <c r="J115" i="19"/>
  <c r="J110" i="19"/>
  <c r="J107" i="19"/>
  <c r="J108" i="19"/>
  <c r="J109" i="19"/>
  <c r="J105" i="19"/>
  <c r="J103" i="19"/>
  <c r="J104" i="19"/>
  <c r="J102" i="19"/>
  <c r="J46" i="19"/>
  <c r="J39" i="19"/>
  <c r="J11" i="19"/>
  <c r="J265" i="10"/>
  <c r="J267" i="10" s="1"/>
  <c r="J262" i="10"/>
  <c r="J261" i="10"/>
  <c r="J256" i="10"/>
  <c r="J255" i="10"/>
  <c r="J257" i="10"/>
  <c r="J253" i="10"/>
  <c r="J250" i="10"/>
  <c r="J251" i="10"/>
  <c r="J252" i="10"/>
  <c r="J249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35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1" i="10"/>
  <c r="J209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190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71" i="10"/>
  <c r="J165" i="10"/>
  <c r="J163" i="10"/>
  <c r="J16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42" i="10"/>
  <c r="J117" i="10"/>
  <c r="J111" i="10"/>
  <c r="J109" i="10"/>
  <c r="J94" i="10"/>
  <c r="J73" i="10"/>
  <c r="J78" i="10"/>
  <c r="J77" i="10"/>
  <c r="J76" i="10"/>
  <c r="J75" i="10"/>
  <c r="J74" i="10"/>
  <c r="J69" i="10"/>
  <c r="J67" i="10"/>
  <c r="J66" i="10"/>
  <c r="J71" i="10"/>
  <c r="J70" i="10"/>
  <c r="J52" i="10"/>
  <c r="J58" i="10" s="1"/>
  <c r="J68" i="10"/>
  <c r="J64" i="10"/>
  <c r="J63" i="10"/>
  <c r="J62" i="10"/>
  <c r="J61" i="10"/>
  <c r="J60" i="10"/>
  <c r="J59" i="10"/>
  <c r="J57" i="10"/>
  <c r="J56" i="10"/>
  <c r="J55" i="10"/>
  <c r="J54" i="10"/>
  <c r="J53" i="10"/>
  <c r="J50" i="10"/>
  <c r="J49" i="10"/>
  <c r="J48" i="10"/>
  <c r="J47" i="10"/>
  <c r="J46" i="10"/>
  <c r="J45" i="10"/>
  <c r="J43" i="10"/>
  <c r="J42" i="10"/>
  <c r="J41" i="10"/>
  <c r="J40" i="10"/>
  <c r="J39" i="10"/>
  <c r="J38" i="10"/>
  <c r="J36" i="10"/>
  <c r="J35" i="10"/>
  <c r="J34" i="10"/>
  <c r="J33" i="10"/>
  <c r="J32" i="10"/>
  <c r="J31" i="10"/>
  <c r="J37" i="10" s="1"/>
  <c r="J29" i="10"/>
  <c r="J28" i="10"/>
  <c r="J27" i="10"/>
  <c r="J26" i="10"/>
  <c r="J25" i="10"/>
  <c r="J24" i="10"/>
  <c r="J22" i="10"/>
  <c r="J21" i="10"/>
  <c r="J20" i="10"/>
  <c r="J19" i="10"/>
  <c r="J18" i="10"/>
  <c r="J17" i="10"/>
  <c r="J15" i="10"/>
  <c r="J14" i="10"/>
  <c r="J13" i="10"/>
  <c r="J12" i="10"/>
  <c r="J11" i="10"/>
  <c r="J10" i="10"/>
  <c r="J165" i="9"/>
  <c r="J169" i="9"/>
  <c r="J168" i="9"/>
  <c r="J170" i="9" s="1"/>
  <c r="J163" i="9"/>
  <c r="J162" i="9"/>
  <c r="J164" i="9" s="1"/>
  <c r="J156" i="9"/>
  <c r="J151" i="9"/>
  <c r="J152" i="9"/>
  <c r="J153" i="9"/>
  <c r="J154" i="9"/>
  <c r="J155" i="9"/>
  <c r="J150" i="9"/>
  <c r="J157" i="9"/>
  <c r="J158" i="9"/>
  <c r="J159" i="9"/>
  <c r="J143" i="9"/>
  <c r="J142" i="9"/>
  <c r="J141" i="9"/>
  <c r="J139" i="9"/>
  <c r="J138" i="9"/>
  <c r="J132" i="9"/>
  <c r="J137" i="9"/>
  <c r="J133" i="9"/>
  <c r="J134" i="9"/>
  <c r="J135" i="9"/>
  <c r="J136" i="9"/>
  <c r="J131" i="9"/>
  <c r="J140" i="9"/>
  <c r="J126" i="9"/>
  <c r="J121" i="9"/>
  <c r="J122" i="9"/>
  <c r="J123" i="9"/>
  <c r="J124" i="9"/>
  <c r="J125" i="9"/>
  <c r="J120" i="9"/>
  <c r="J109" i="9"/>
  <c r="J115" i="9"/>
  <c r="J116" i="9"/>
  <c r="J111" i="9"/>
  <c r="J112" i="9"/>
  <c r="J113" i="9"/>
  <c r="J114" i="9"/>
  <c r="J110" i="9"/>
  <c r="J102" i="9"/>
  <c r="J100" i="9"/>
  <c r="J99" i="9"/>
  <c r="J95" i="9"/>
  <c r="J96" i="9"/>
  <c r="J97" i="9"/>
  <c r="J98" i="9"/>
  <c r="J94" i="9"/>
  <c r="J93" i="9"/>
  <c r="J90" i="9"/>
  <c r="J91" i="9"/>
  <c r="J92" i="9"/>
  <c r="J89" i="9"/>
  <c r="J88" i="9"/>
  <c r="J87" i="9"/>
  <c r="J55" i="9"/>
  <c r="J54" i="9"/>
  <c r="J53" i="9"/>
  <c r="J61" i="9"/>
  <c r="J60" i="9"/>
  <c r="J59" i="9"/>
  <c r="J58" i="9"/>
  <c r="J57" i="9"/>
  <c r="J56" i="9"/>
  <c r="J50" i="9"/>
  <c r="J49" i="9"/>
  <c r="J48" i="9"/>
  <c r="J47" i="9"/>
  <c r="J46" i="9"/>
  <c r="J45" i="9"/>
  <c r="J31" i="9"/>
  <c r="J17" i="9"/>
  <c r="J10" i="9"/>
  <c r="J43" i="9"/>
  <c r="J42" i="9"/>
  <c r="J41" i="9"/>
  <c r="J40" i="9"/>
  <c r="J39" i="9"/>
  <c r="J38" i="9"/>
  <c r="J44" i="9" s="1"/>
  <c r="J36" i="9"/>
  <c r="J35" i="9"/>
  <c r="J34" i="9"/>
  <c r="J33" i="9"/>
  <c r="J32" i="9"/>
  <c r="J29" i="9"/>
  <c r="J28" i="9"/>
  <c r="J27" i="9"/>
  <c r="J26" i="9"/>
  <c r="J25" i="9"/>
  <c r="J24" i="9"/>
  <c r="J22" i="9"/>
  <c r="J21" i="9"/>
  <c r="J20" i="9"/>
  <c r="J19" i="9"/>
  <c r="J18" i="9"/>
  <c r="J15" i="9"/>
  <c r="J14" i="9"/>
  <c r="J13" i="9"/>
  <c r="J12" i="9"/>
  <c r="J11" i="9"/>
  <c r="J15" i="6"/>
  <c r="J219" i="8"/>
  <c r="J218" i="8"/>
  <c r="J217" i="8"/>
  <c r="J214" i="8"/>
  <c r="J212" i="8"/>
  <c r="J211" i="8"/>
  <c r="J213" i="8" s="1"/>
  <c r="J205" i="8"/>
  <c r="J196" i="8"/>
  <c r="J197" i="8"/>
  <c r="J198" i="8"/>
  <c r="J199" i="8"/>
  <c r="J200" i="8"/>
  <c r="J201" i="8"/>
  <c r="J202" i="8"/>
  <c r="J203" i="8"/>
  <c r="J204" i="8"/>
  <c r="J195" i="8"/>
  <c r="J187" i="8"/>
  <c r="J188" i="8"/>
  <c r="J186" i="8"/>
  <c r="J184" i="8"/>
  <c r="J183" i="8"/>
  <c r="J182" i="8"/>
  <c r="J173" i="8"/>
  <c r="J174" i="8"/>
  <c r="J175" i="8"/>
  <c r="J176" i="8"/>
  <c r="J177" i="8"/>
  <c r="J178" i="8"/>
  <c r="J179" i="8"/>
  <c r="J180" i="8"/>
  <c r="J181" i="8"/>
  <c r="J172" i="8"/>
  <c r="J167" i="8"/>
  <c r="J158" i="8"/>
  <c r="J159" i="8"/>
  <c r="J160" i="8"/>
  <c r="J161" i="8"/>
  <c r="J162" i="8"/>
  <c r="J163" i="8"/>
  <c r="J164" i="8"/>
  <c r="J165" i="8"/>
  <c r="J166" i="8"/>
  <c r="J157" i="8"/>
  <c r="J143" i="8"/>
  <c r="J144" i="8"/>
  <c r="J145" i="8"/>
  <c r="J146" i="8"/>
  <c r="J147" i="8"/>
  <c r="J148" i="8"/>
  <c r="J149" i="8"/>
  <c r="J150" i="8"/>
  <c r="J151" i="8"/>
  <c r="J152" i="8"/>
  <c r="J153" i="8"/>
  <c r="J142" i="8"/>
  <c r="J135" i="8"/>
  <c r="J133" i="8"/>
  <c r="J132" i="8"/>
  <c r="J127" i="8"/>
  <c r="J128" i="8"/>
  <c r="J129" i="8"/>
  <c r="J130" i="8"/>
  <c r="J131" i="8"/>
  <c r="J123" i="8"/>
  <c r="J121" i="8"/>
  <c r="J117" i="8"/>
  <c r="J118" i="8"/>
  <c r="J119" i="8"/>
  <c r="J120" i="8"/>
  <c r="J116" i="8"/>
  <c r="J82" i="8"/>
  <c r="J74" i="8"/>
  <c r="J67" i="8"/>
  <c r="J60" i="8"/>
  <c r="J79" i="8"/>
  <c r="J78" i="8"/>
  <c r="J77" i="8"/>
  <c r="J76" i="8"/>
  <c r="J75" i="8"/>
  <c r="J72" i="8"/>
  <c r="J71" i="8"/>
  <c r="J70" i="8"/>
  <c r="J69" i="8"/>
  <c r="J68" i="8"/>
  <c r="J84" i="8"/>
  <c r="J83" i="8"/>
  <c r="J38" i="8"/>
  <c r="J34" i="8"/>
  <c r="J33" i="8"/>
  <c r="J32" i="8"/>
  <c r="J25" i="8"/>
  <c r="J18" i="8"/>
  <c r="J16" i="8"/>
  <c r="J15" i="8"/>
  <c r="J14" i="8"/>
  <c r="J13" i="8"/>
  <c r="J12" i="8"/>
  <c r="J208" i="8"/>
  <c r="J207" i="8"/>
  <c r="J206" i="8"/>
  <c r="J126" i="8"/>
  <c r="J125" i="8"/>
  <c r="J124" i="8"/>
  <c r="J122" i="8"/>
  <c r="J90" i="8"/>
  <c r="J88" i="8"/>
  <c r="J87" i="8"/>
  <c r="J86" i="8"/>
  <c r="J85" i="8"/>
  <c r="J65" i="8"/>
  <c r="J64" i="8"/>
  <c r="J63" i="8"/>
  <c r="J62" i="8"/>
  <c r="J61" i="8"/>
  <c r="J58" i="8"/>
  <c r="J57" i="8"/>
  <c r="J56" i="8"/>
  <c r="J55" i="8"/>
  <c r="J54" i="8"/>
  <c r="J53" i="8"/>
  <c r="J51" i="8"/>
  <c r="J50" i="8"/>
  <c r="J49" i="8"/>
  <c r="J48" i="8"/>
  <c r="J47" i="8"/>
  <c r="J46" i="8"/>
  <c r="J44" i="8"/>
  <c r="J43" i="8"/>
  <c r="J42" i="8"/>
  <c r="J41" i="8"/>
  <c r="J40" i="8"/>
  <c r="J39" i="8"/>
  <c r="J37" i="8"/>
  <c r="J36" i="8"/>
  <c r="J35" i="8"/>
  <c r="J30" i="8"/>
  <c r="J29" i="8"/>
  <c r="J28" i="8"/>
  <c r="J27" i="8"/>
  <c r="J26" i="8"/>
  <c r="J23" i="8"/>
  <c r="J22" i="8"/>
  <c r="J21" i="8"/>
  <c r="J20" i="8"/>
  <c r="J19" i="8"/>
  <c r="J11" i="8"/>
  <c r="J327" i="7"/>
  <c r="J326" i="7"/>
  <c r="J328" i="7" s="1"/>
  <c r="J323" i="7"/>
  <c r="J321" i="7"/>
  <c r="J320" i="7"/>
  <c r="J317" i="7"/>
  <c r="J314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295" i="7"/>
  <c r="J284" i="7"/>
  <c r="J28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63" i="7"/>
  <c r="J258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39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15" i="7"/>
  <c r="J209" i="7"/>
  <c r="J208" i="7"/>
  <c r="J206" i="7"/>
  <c r="J205" i="7"/>
  <c r="J200" i="7"/>
  <c r="J201" i="7"/>
  <c r="J202" i="7"/>
  <c r="J203" i="7"/>
  <c r="J204" i="7"/>
  <c r="J199" i="7"/>
  <c r="J198" i="7"/>
  <c r="J190" i="7"/>
  <c r="J180" i="7"/>
  <c r="J146" i="7"/>
  <c r="J154" i="7"/>
  <c r="J153" i="7"/>
  <c r="J152" i="7"/>
  <c r="J151" i="7"/>
  <c r="J150" i="7"/>
  <c r="J149" i="7"/>
  <c r="J148" i="7"/>
  <c r="J147" i="7"/>
  <c r="J143" i="7"/>
  <c r="J142" i="7"/>
  <c r="J141" i="7"/>
  <c r="J140" i="7"/>
  <c r="J139" i="7"/>
  <c r="J138" i="7"/>
  <c r="J144" i="7" s="1"/>
  <c r="J136" i="7"/>
  <c r="J135" i="7"/>
  <c r="J134" i="7"/>
  <c r="J133" i="7"/>
  <c r="J132" i="7"/>
  <c r="J131" i="7"/>
  <c r="J129" i="7"/>
  <c r="J128" i="7"/>
  <c r="J127" i="7"/>
  <c r="J126" i="7"/>
  <c r="J125" i="7"/>
  <c r="J124" i="7"/>
  <c r="J122" i="7"/>
  <c r="J121" i="7"/>
  <c r="J120" i="7"/>
  <c r="J119" i="7"/>
  <c r="J118" i="7"/>
  <c r="J117" i="7"/>
  <c r="J115" i="7"/>
  <c r="J114" i="7"/>
  <c r="J113" i="7"/>
  <c r="J112" i="7"/>
  <c r="J116" i="7" s="1"/>
  <c r="J111" i="7"/>
  <c r="J110" i="7"/>
  <c r="J108" i="7"/>
  <c r="J107" i="7"/>
  <c r="J106" i="7"/>
  <c r="J105" i="7"/>
  <c r="J104" i="7"/>
  <c r="J103" i="7"/>
  <c r="J101" i="7"/>
  <c r="J100" i="7"/>
  <c r="J99" i="7"/>
  <c r="J98" i="7"/>
  <c r="J97" i="7"/>
  <c r="J96" i="7"/>
  <c r="J94" i="7"/>
  <c r="J93" i="7"/>
  <c r="J92" i="7"/>
  <c r="J91" i="7"/>
  <c r="J90" i="7"/>
  <c r="J89" i="7"/>
  <c r="J95" i="7" s="1"/>
  <c r="J87" i="7"/>
  <c r="J86" i="7"/>
  <c r="J85" i="7"/>
  <c r="J84" i="7"/>
  <c r="J83" i="7"/>
  <c r="J82" i="7"/>
  <c r="J75" i="7"/>
  <c r="J80" i="7"/>
  <c r="J73" i="7"/>
  <c r="J79" i="7"/>
  <c r="J78" i="7"/>
  <c r="J77" i="7"/>
  <c r="J76" i="7"/>
  <c r="J68" i="7"/>
  <c r="J74" i="7" s="1"/>
  <c r="J69" i="7"/>
  <c r="J71" i="7"/>
  <c r="J72" i="7"/>
  <c r="J70" i="7"/>
  <c r="J66" i="7"/>
  <c r="J65" i="7"/>
  <c r="J64" i="7"/>
  <c r="J63" i="7"/>
  <c r="J62" i="7"/>
  <c r="J67" i="7" s="1"/>
  <c r="J61" i="7"/>
  <c r="J54" i="7"/>
  <c r="J55" i="7"/>
  <c r="J56" i="7"/>
  <c r="J57" i="7"/>
  <c r="J58" i="7"/>
  <c r="J59" i="7"/>
  <c r="J47" i="7"/>
  <c r="J50" i="7"/>
  <c r="J52" i="7"/>
  <c r="J51" i="7"/>
  <c r="J49" i="7"/>
  <c r="J48" i="7"/>
  <c r="J46" i="7"/>
  <c r="J44" i="7"/>
  <c r="J43" i="7"/>
  <c r="J42" i="7"/>
  <c r="J41" i="7"/>
  <c r="J40" i="7"/>
  <c r="J39" i="7"/>
  <c r="J32" i="7"/>
  <c r="J25" i="7"/>
  <c r="J20" i="7"/>
  <c r="J19" i="7"/>
  <c r="J18" i="7"/>
  <c r="J13" i="7"/>
  <c r="J12" i="7"/>
  <c r="J11" i="7"/>
  <c r="J316" i="7"/>
  <c r="J315" i="7"/>
  <c r="J288" i="7"/>
  <c r="J287" i="7"/>
  <c r="J286" i="7"/>
  <c r="J282" i="7"/>
  <c r="J197" i="7"/>
  <c r="J196" i="7"/>
  <c r="J195" i="7"/>
  <c r="J194" i="7"/>
  <c r="J193" i="7"/>
  <c r="J192" i="7"/>
  <c r="J191" i="7"/>
  <c r="J189" i="7"/>
  <c r="J188" i="7"/>
  <c r="J187" i="7"/>
  <c r="J186" i="7"/>
  <c r="J185" i="7"/>
  <c r="J184" i="7"/>
  <c r="J183" i="7"/>
  <c r="J182" i="7"/>
  <c r="J181" i="7"/>
  <c r="J37" i="7"/>
  <c r="J36" i="7"/>
  <c r="J35" i="7"/>
  <c r="J34" i="7"/>
  <c r="J33" i="7"/>
  <c r="J30" i="7"/>
  <c r="J29" i="7"/>
  <c r="J28" i="7"/>
  <c r="J27" i="7"/>
  <c r="J26" i="7"/>
  <c r="J23" i="7"/>
  <c r="J22" i="7"/>
  <c r="J21" i="7"/>
  <c r="J16" i="7"/>
  <c r="J15" i="7"/>
  <c r="J14" i="7"/>
  <c r="J157" i="6"/>
  <c r="J156" i="6"/>
  <c r="J158" i="6" s="1"/>
  <c r="J153" i="6"/>
  <c r="J151" i="6"/>
  <c r="J150" i="6"/>
  <c r="J152" i="6" s="1"/>
  <c r="J146" i="6"/>
  <c r="J147" i="6"/>
  <c r="J145" i="6"/>
  <c r="J144" i="6"/>
  <c r="J140" i="6"/>
  <c r="J141" i="6"/>
  <c r="J142" i="6"/>
  <c r="J143" i="6"/>
  <c r="J139" i="6"/>
  <c r="K135" i="6"/>
  <c r="K134" i="6"/>
  <c r="J132" i="6"/>
  <c r="J131" i="6"/>
  <c r="J130" i="6"/>
  <c r="J127" i="6"/>
  <c r="J128" i="6"/>
  <c r="J124" i="6"/>
  <c r="J126" i="6"/>
  <c r="J122" i="6"/>
  <c r="J123" i="6"/>
  <c r="J125" i="6"/>
  <c r="J121" i="6"/>
  <c r="J116" i="6"/>
  <c r="J112" i="6"/>
  <c r="J113" i="6"/>
  <c r="J114" i="6"/>
  <c r="J115" i="6"/>
  <c r="J111" i="6"/>
  <c r="J107" i="6"/>
  <c r="J102" i="6"/>
  <c r="J103" i="6"/>
  <c r="J104" i="6"/>
  <c r="J105" i="6"/>
  <c r="J106" i="6"/>
  <c r="J101" i="6"/>
  <c r="J94" i="6"/>
  <c r="J92" i="6"/>
  <c r="J91" i="6"/>
  <c r="J90" i="6"/>
  <c r="J89" i="6"/>
  <c r="J88" i="6"/>
  <c r="J87" i="6"/>
  <c r="J86" i="6"/>
  <c r="J85" i="6"/>
  <c r="J84" i="6"/>
  <c r="J83" i="6"/>
  <c r="J81" i="6"/>
  <c r="J82" i="6"/>
  <c r="J80" i="6"/>
  <c r="J67" i="6"/>
  <c r="J68" i="6"/>
  <c r="J69" i="6"/>
  <c r="J70" i="6"/>
  <c r="J71" i="6"/>
  <c r="J73" i="6"/>
  <c r="J76" i="6"/>
  <c r="J54" i="6"/>
  <c r="J50" i="6"/>
  <c r="J51" i="6"/>
  <c r="J52" i="6"/>
  <c r="J53" i="6"/>
  <c r="J49" i="6"/>
  <c r="J48" i="6"/>
  <c r="J47" i="6"/>
  <c r="J46" i="6"/>
  <c r="J12" i="6"/>
  <c r="J11" i="6"/>
  <c r="J65" i="6"/>
  <c r="J44" i="6"/>
  <c r="J43" i="6"/>
  <c r="J42" i="6"/>
  <c r="J41" i="6"/>
  <c r="J40" i="6"/>
  <c r="J45" i="6" s="1"/>
  <c r="J39" i="6"/>
  <c r="J37" i="6"/>
  <c r="J36" i="6"/>
  <c r="J35" i="6"/>
  <c r="J34" i="6"/>
  <c r="J33" i="6"/>
  <c r="J32" i="6"/>
  <c r="J30" i="6"/>
  <c r="J29" i="6"/>
  <c r="J28" i="6"/>
  <c r="J27" i="6"/>
  <c r="J26" i="6"/>
  <c r="J25" i="6"/>
  <c r="J23" i="6"/>
  <c r="J22" i="6"/>
  <c r="J21" i="6"/>
  <c r="J20" i="6"/>
  <c r="J19" i="6"/>
  <c r="J18" i="6"/>
  <c r="J16" i="6"/>
  <c r="J14" i="6"/>
  <c r="J13" i="6"/>
  <c r="J326" i="5"/>
  <c r="J325" i="5"/>
  <c r="J327" i="5" s="1"/>
  <c r="J322" i="5"/>
  <c r="J319" i="5"/>
  <c r="J320" i="5"/>
  <c r="J315" i="5"/>
  <c r="J316" i="5"/>
  <c r="J314" i="5"/>
  <c r="J313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294" i="5"/>
  <c r="J287" i="5"/>
  <c r="J286" i="5"/>
  <c r="J285" i="5"/>
  <c r="J282" i="5"/>
  <c r="J283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57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38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14" i="5"/>
  <c r="J207" i="5"/>
  <c r="J205" i="5"/>
  <c r="J204" i="5"/>
  <c r="J203" i="5"/>
  <c r="J202" i="5"/>
  <c r="J201" i="5"/>
  <c r="J200" i="5"/>
  <c r="J199" i="5"/>
  <c r="J198" i="5"/>
  <c r="J187" i="5"/>
  <c r="J189" i="5"/>
  <c r="J190" i="5"/>
  <c r="J191" i="5"/>
  <c r="J192" i="5"/>
  <c r="J193" i="5"/>
  <c r="J194" i="5"/>
  <c r="J195" i="5"/>
  <c r="J196" i="5"/>
  <c r="J197" i="5"/>
  <c r="J188" i="5"/>
  <c r="J180" i="5"/>
  <c r="J181" i="5"/>
  <c r="J182" i="5"/>
  <c r="J183" i="5"/>
  <c r="J184" i="5"/>
  <c r="J185" i="5"/>
  <c r="J186" i="5"/>
  <c r="J179" i="5"/>
  <c r="J159" i="5"/>
  <c r="J153" i="5"/>
  <c r="J152" i="5"/>
  <c r="J151" i="5"/>
  <c r="J149" i="5"/>
  <c r="J148" i="5"/>
  <c r="J147" i="5"/>
  <c r="J146" i="5"/>
  <c r="J145" i="5"/>
  <c r="J116" i="5"/>
  <c r="J74" i="5"/>
  <c r="J53" i="5"/>
  <c r="J46" i="5"/>
  <c r="J39" i="5"/>
  <c r="J32" i="5"/>
  <c r="J25" i="5"/>
  <c r="J18" i="5"/>
  <c r="J12" i="5"/>
  <c r="J11" i="5"/>
  <c r="J135" i="4"/>
  <c r="J134" i="4"/>
  <c r="J136" i="4" s="1"/>
  <c r="J131" i="4"/>
  <c r="J129" i="4"/>
  <c r="J128" i="4"/>
  <c r="J123" i="4"/>
  <c r="J122" i="4"/>
  <c r="J120" i="4"/>
  <c r="J121" i="4"/>
  <c r="J119" i="4"/>
  <c r="J114" i="4"/>
  <c r="J112" i="4"/>
  <c r="J111" i="4"/>
  <c r="J110" i="4"/>
  <c r="J108" i="4"/>
  <c r="J107" i="4"/>
  <c r="J106" i="4"/>
  <c r="J105" i="4"/>
  <c r="J104" i="4"/>
  <c r="J103" i="4"/>
  <c r="J98" i="4"/>
  <c r="J96" i="4"/>
  <c r="J97" i="4"/>
  <c r="J95" i="4"/>
  <c r="J88" i="4"/>
  <c r="J89" i="4"/>
  <c r="J90" i="4"/>
  <c r="J91" i="4"/>
  <c r="J87" i="4"/>
  <c r="J80" i="4"/>
  <c r="J78" i="4"/>
  <c r="J77" i="4"/>
  <c r="J72" i="4"/>
  <c r="J73" i="4"/>
  <c r="J74" i="4"/>
  <c r="J75" i="4"/>
  <c r="J76" i="4"/>
  <c r="J71" i="4"/>
  <c r="J70" i="4"/>
  <c r="J69" i="4"/>
  <c r="J68" i="4"/>
  <c r="J40" i="4"/>
  <c r="J17" i="4"/>
  <c r="J22" i="4"/>
  <c r="J21" i="4"/>
  <c r="J20" i="4"/>
  <c r="J19" i="4"/>
  <c r="J18" i="4"/>
  <c r="J10" i="4"/>
  <c r="J29" i="4"/>
  <c r="J28" i="4"/>
  <c r="J27" i="4"/>
  <c r="J26" i="4"/>
  <c r="J25" i="4"/>
  <c r="J24" i="4"/>
  <c r="J15" i="4"/>
  <c r="J14" i="4"/>
  <c r="J13" i="4"/>
  <c r="J12" i="4"/>
  <c r="J11" i="4"/>
  <c r="J82" i="3"/>
  <c r="J236" i="2"/>
  <c r="J235" i="2"/>
  <c r="J237" i="2" s="1"/>
  <c r="J230" i="2"/>
  <c r="J231" i="2" s="1"/>
  <c r="J229" i="2"/>
  <c r="J226" i="2"/>
  <c r="J223" i="2"/>
  <c r="J213" i="2"/>
  <c r="J214" i="2"/>
  <c r="J215" i="2"/>
  <c r="J216" i="2"/>
  <c r="J217" i="2"/>
  <c r="J218" i="2"/>
  <c r="J219" i="2"/>
  <c r="J220" i="2"/>
  <c r="J221" i="2"/>
  <c r="J222" i="2"/>
  <c r="J212" i="2"/>
  <c r="J203" i="2"/>
  <c r="J202" i="2"/>
  <c r="J201" i="2"/>
  <c r="J199" i="2"/>
  <c r="J198" i="2"/>
  <c r="J197" i="2"/>
  <c r="J188" i="2"/>
  <c r="J189" i="2"/>
  <c r="J190" i="2"/>
  <c r="J191" i="2"/>
  <c r="J192" i="2"/>
  <c r="J193" i="2"/>
  <c r="J194" i="2"/>
  <c r="J195" i="2"/>
  <c r="J196" i="2"/>
  <c r="J187" i="2"/>
  <c r="J186" i="2"/>
  <c r="K208" i="2"/>
  <c r="K206" i="2"/>
  <c r="J170" i="2"/>
  <c r="J181" i="2"/>
  <c r="J171" i="2"/>
  <c r="J172" i="2"/>
  <c r="J173" i="2"/>
  <c r="J174" i="2"/>
  <c r="J175" i="2"/>
  <c r="J176" i="2"/>
  <c r="J177" i="2"/>
  <c r="J178" i="2"/>
  <c r="J179" i="2"/>
  <c r="J180" i="2"/>
  <c r="J166" i="2"/>
  <c r="J155" i="2"/>
  <c r="J156" i="2"/>
  <c r="J157" i="2"/>
  <c r="J158" i="2"/>
  <c r="J159" i="2"/>
  <c r="J160" i="2"/>
  <c r="J161" i="2"/>
  <c r="J162" i="2"/>
  <c r="J163" i="2"/>
  <c r="J164" i="2"/>
  <c r="J165" i="2"/>
  <c r="J154" i="2"/>
  <c r="J147" i="2"/>
  <c r="J145" i="2"/>
  <c r="J142" i="2"/>
  <c r="J143" i="2"/>
  <c r="J137" i="2"/>
  <c r="J138" i="2"/>
  <c r="J139" i="2"/>
  <c r="J140" i="2"/>
  <c r="J141" i="2"/>
  <c r="J136" i="2"/>
  <c r="J127" i="2"/>
  <c r="J128" i="2"/>
  <c r="J129" i="2"/>
  <c r="J130" i="2"/>
  <c r="J131" i="2"/>
  <c r="J132" i="2"/>
  <c r="J133" i="2"/>
  <c r="J134" i="2"/>
  <c r="J135" i="2"/>
  <c r="J126" i="2"/>
  <c r="J125" i="2"/>
  <c r="J103" i="2"/>
  <c r="J122" i="2" s="1"/>
  <c r="J93" i="2"/>
  <c r="J96" i="2"/>
  <c r="J95" i="2"/>
  <c r="J94" i="2"/>
  <c r="J92" i="2"/>
  <c r="J91" i="2"/>
  <c r="J90" i="2"/>
  <c r="J88" i="2"/>
  <c r="J17" i="2"/>
  <c r="J10" i="2"/>
  <c r="J89" i="2"/>
  <c r="J85" i="2"/>
  <c r="J84" i="2"/>
  <c r="J83" i="2"/>
  <c r="J82" i="2"/>
  <c r="J81" i="2"/>
  <c r="J80" i="2"/>
  <c r="J86" i="2" s="1"/>
  <c r="J78" i="2"/>
  <c r="J77" i="2"/>
  <c r="J76" i="2"/>
  <c r="J75" i="2"/>
  <c r="J74" i="2"/>
  <c r="J73" i="2"/>
  <c r="J71" i="2"/>
  <c r="J70" i="2"/>
  <c r="J69" i="2"/>
  <c r="J68" i="2"/>
  <c r="J67" i="2"/>
  <c r="J66" i="2"/>
  <c r="J64" i="2"/>
  <c r="J63" i="2"/>
  <c r="J62" i="2"/>
  <c r="J61" i="2"/>
  <c r="J60" i="2"/>
  <c r="J59" i="2"/>
  <c r="J57" i="2"/>
  <c r="J56" i="2"/>
  <c r="J55" i="2"/>
  <c r="J54" i="2"/>
  <c r="J53" i="2"/>
  <c r="J52" i="2"/>
  <c r="J50" i="2"/>
  <c r="J49" i="2"/>
  <c r="J48" i="2"/>
  <c r="J47" i="2"/>
  <c r="J46" i="2"/>
  <c r="J45" i="2"/>
  <c r="J43" i="2"/>
  <c r="J42" i="2"/>
  <c r="J41" i="2"/>
  <c r="J40" i="2"/>
  <c r="J39" i="2"/>
  <c r="J38" i="2"/>
  <c r="J36" i="2"/>
  <c r="J35" i="2"/>
  <c r="J34" i="2"/>
  <c r="J33" i="2"/>
  <c r="J32" i="2"/>
  <c r="J31" i="2"/>
  <c r="J29" i="2"/>
  <c r="J28" i="2"/>
  <c r="J27" i="2"/>
  <c r="J26" i="2"/>
  <c r="J25" i="2"/>
  <c r="J24" i="2"/>
  <c r="J22" i="2"/>
  <c r="J21" i="2"/>
  <c r="J20" i="2"/>
  <c r="J19" i="2"/>
  <c r="J18" i="2"/>
  <c r="J23" i="2" s="1"/>
  <c r="J15" i="2"/>
  <c r="J14" i="2"/>
  <c r="J13" i="2"/>
  <c r="J12" i="2"/>
  <c r="J11" i="2"/>
  <c r="J194" i="3"/>
  <c r="J193" i="3"/>
  <c r="J195" i="3" s="1"/>
  <c r="J190" i="3"/>
  <c r="J188" i="3"/>
  <c r="J187" i="3"/>
  <c r="J182" i="3"/>
  <c r="J174" i="3"/>
  <c r="J175" i="3"/>
  <c r="J176" i="3"/>
  <c r="J177" i="3"/>
  <c r="J178" i="3"/>
  <c r="J179" i="3"/>
  <c r="J180" i="3"/>
  <c r="J181" i="3"/>
  <c r="J173" i="3"/>
  <c r="J168" i="3"/>
  <c r="J166" i="3"/>
  <c r="J165" i="3"/>
  <c r="J164" i="3"/>
  <c r="J161" i="3"/>
  <c r="J162" i="3"/>
  <c r="J159" i="3"/>
  <c r="J158" i="3"/>
  <c r="J153" i="3"/>
  <c r="J154" i="3"/>
  <c r="J155" i="3"/>
  <c r="J156" i="3"/>
  <c r="J157" i="3"/>
  <c r="J152" i="3"/>
  <c r="J147" i="3"/>
  <c r="J140" i="3"/>
  <c r="J141" i="3"/>
  <c r="J142" i="3"/>
  <c r="J143" i="3"/>
  <c r="J144" i="3"/>
  <c r="J145" i="3"/>
  <c r="J146" i="3"/>
  <c r="J139" i="3"/>
  <c r="J126" i="3"/>
  <c r="J127" i="3"/>
  <c r="J128" i="3"/>
  <c r="J129" i="3"/>
  <c r="J130" i="3"/>
  <c r="J131" i="3"/>
  <c r="J132" i="3"/>
  <c r="J133" i="3"/>
  <c r="J134" i="3"/>
  <c r="J135" i="3"/>
  <c r="J119" i="3"/>
  <c r="J118" i="3"/>
  <c r="J117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03" i="3"/>
  <c r="J76" i="3"/>
  <c r="J68" i="3"/>
  <c r="J70" i="3"/>
  <c r="J11" i="3"/>
  <c r="J20" i="3"/>
  <c r="J73" i="3"/>
  <c r="J53" i="3"/>
  <c r="J39" i="3"/>
  <c r="J32" i="3"/>
  <c r="J25" i="3"/>
  <c r="J18" i="3"/>
  <c r="J170" i="3"/>
  <c r="J160" i="3"/>
  <c r="J75" i="3"/>
  <c r="J74" i="3"/>
  <c r="J72" i="3"/>
  <c r="J71" i="3"/>
  <c r="J69" i="3"/>
  <c r="J65" i="3"/>
  <c r="J64" i="3"/>
  <c r="J63" i="3"/>
  <c r="J62" i="3"/>
  <c r="J61" i="3"/>
  <c r="J60" i="3"/>
  <c r="J58" i="3"/>
  <c r="J57" i="3"/>
  <c r="J56" i="3"/>
  <c r="J55" i="3"/>
  <c r="J54" i="3"/>
  <c r="J51" i="3"/>
  <c r="J50" i="3"/>
  <c r="J49" i="3"/>
  <c r="J48" i="3"/>
  <c r="J47" i="3"/>
  <c r="J46" i="3"/>
  <c r="J44" i="3"/>
  <c r="J43" i="3"/>
  <c r="J42" i="3"/>
  <c r="J41" i="3"/>
  <c r="J40" i="3"/>
  <c r="J37" i="3"/>
  <c r="J36" i="3"/>
  <c r="J35" i="3"/>
  <c r="J34" i="3"/>
  <c r="J33" i="3"/>
  <c r="J30" i="3"/>
  <c r="J29" i="3"/>
  <c r="J28" i="3"/>
  <c r="J27" i="3"/>
  <c r="J26" i="3"/>
  <c r="J23" i="3"/>
  <c r="J22" i="3"/>
  <c r="J21" i="3"/>
  <c r="J19" i="3"/>
  <c r="J16" i="3"/>
  <c r="J15" i="3"/>
  <c r="J14" i="3"/>
  <c r="J13" i="3"/>
  <c r="J12" i="3"/>
  <c r="J240" i="1"/>
  <c r="J213" i="1"/>
  <c r="J209" i="1"/>
  <c r="J196" i="1"/>
  <c r="J195" i="1"/>
  <c r="J191" i="1"/>
  <c r="J176" i="1"/>
  <c r="J172" i="1"/>
  <c r="J174" i="1" s="1"/>
  <c r="J168" i="1"/>
  <c r="J110" i="1"/>
  <c r="J109" i="1"/>
  <c r="J11" i="1"/>
  <c r="J72" i="10" l="1"/>
  <c r="J51" i="2"/>
  <c r="J73" i="8"/>
  <c r="J321" i="5"/>
  <c r="J24" i="7"/>
  <c r="J263" i="10"/>
  <c r="J123" i="7"/>
  <c r="J17" i="8"/>
  <c r="J30" i="2"/>
  <c r="J102" i="7"/>
  <c r="J23" i="9"/>
  <c r="J148" i="6"/>
  <c r="J17" i="6"/>
  <c r="J109" i="7"/>
  <c r="J80" i="8"/>
  <c r="J37" i="2"/>
  <c r="J185" i="19"/>
  <c r="J136" i="6"/>
  <c r="J24" i="8"/>
  <c r="J16" i="10"/>
  <c r="J65" i="10"/>
  <c r="J137" i="7"/>
  <c r="J212" i="5"/>
  <c r="J44" i="2"/>
  <c r="J31" i="6"/>
  <c r="J60" i="7"/>
  <c r="J192" i="8"/>
  <c r="J172" i="12"/>
  <c r="J65" i="2"/>
  <c r="J30" i="4"/>
  <c r="J23" i="4"/>
  <c r="J213" i="7"/>
  <c r="J107" i="9"/>
  <c r="J125" i="3"/>
  <c r="J317" i="5"/>
  <c r="J79" i="2"/>
  <c r="J16" i="2"/>
  <c r="J152" i="2"/>
  <c r="J55" i="6"/>
  <c r="J189" i="3"/>
  <c r="J16" i="4"/>
  <c r="J130" i="7"/>
  <c r="J72" i="2"/>
  <c r="J97" i="2"/>
  <c r="J85" i="4"/>
  <c r="J130" i="4"/>
  <c r="J322" i="7"/>
  <c r="J38" i="6"/>
  <c r="J81" i="7"/>
  <c r="J155" i="7"/>
  <c r="J318" i="7"/>
  <c r="J88" i="7"/>
  <c r="J292" i="7"/>
  <c r="J140" i="8"/>
  <c r="J30" i="10"/>
  <c r="J37" i="9"/>
  <c r="J147" i="9"/>
  <c r="J79" i="10"/>
  <c r="J38" i="7"/>
  <c r="J31" i="8"/>
  <c r="J16" i="9"/>
  <c r="J232" i="10"/>
  <c r="J58" i="2"/>
  <c r="J24" i="6"/>
  <c r="J62" i="9"/>
  <c r="J206" i="10"/>
  <c r="J209" i="8"/>
  <c r="J52" i="8"/>
  <c r="J160" i="9"/>
  <c r="J169" i="10"/>
  <c r="J17" i="7"/>
  <c r="J66" i="8"/>
  <c r="J44" i="10"/>
  <c r="J30" i="9"/>
  <c r="J51" i="9"/>
  <c r="J23" i="10"/>
  <c r="J51" i="10"/>
  <c r="J45" i="8"/>
  <c r="J59" i="8"/>
  <c r="J53" i="7"/>
  <c r="J31" i="7"/>
  <c r="J45" i="7"/>
  <c r="J17" i="3"/>
  <c r="J52" i="3"/>
  <c r="J77" i="3"/>
  <c r="J185" i="3"/>
  <c r="J31" i="3"/>
  <c r="J38" i="3"/>
  <c r="J59" i="3"/>
  <c r="J24" i="3"/>
  <c r="J45" i="3"/>
  <c r="J66" i="3"/>
  <c r="J255" i="1"/>
  <c r="J253" i="1"/>
  <c r="J254" i="1"/>
  <c r="J247" i="1"/>
  <c r="J241" i="1"/>
  <c r="J242" i="1"/>
  <c r="J243" i="1"/>
  <c r="J244" i="1"/>
  <c r="J245" i="1"/>
  <c r="J246" i="1"/>
  <c r="J248" i="1"/>
  <c r="J249" i="1"/>
  <c r="J250" i="1"/>
  <c r="J251" i="1"/>
  <c r="J252" i="1"/>
  <c r="J233" i="1"/>
  <c r="J232" i="1"/>
  <c r="J231" i="1"/>
  <c r="J229" i="1"/>
  <c r="J228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185" i="1"/>
  <c r="J183" i="1"/>
  <c r="J182" i="1"/>
  <c r="J181" i="1"/>
  <c r="J180" i="1"/>
  <c r="J179" i="1"/>
  <c r="J178" i="1"/>
  <c r="J177" i="1"/>
  <c r="J187" i="1"/>
  <c r="J188" i="1"/>
  <c r="J189" i="1"/>
  <c r="J190" i="1"/>
  <c r="J184" i="1"/>
  <c r="J186" i="1"/>
  <c r="J170" i="1"/>
  <c r="J167" i="1"/>
  <c r="J165" i="1"/>
  <c r="J166" i="1"/>
  <c r="J164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46" i="1"/>
  <c r="J147" i="1"/>
  <c r="J145" i="1"/>
  <c r="J117" i="1"/>
  <c r="J116" i="1"/>
  <c r="J115" i="1"/>
  <c r="J112" i="1"/>
  <c r="J111" i="1"/>
  <c r="J114" i="1"/>
  <c r="J113" i="1"/>
  <c r="J107" i="1"/>
  <c r="J106" i="1"/>
  <c r="J105" i="1"/>
  <c r="J103" i="1"/>
  <c r="J104" i="1"/>
  <c r="J102" i="1"/>
  <c r="J100" i="1"/>
  <c r="J99" i="1"/>
  <c r="J98" i="1"/>
  <c r="J97" i="1"/>
  <c r="J96" i="1"/>
  <c r="J95" i="1"/>
  <c r="J101" i="1" s="1"/>
  <c r="J93" i="1"/>
  <c r="J92" i="1"/>
  <c r="J91" i="1"/>
  <c r="J90" i="1"/>
  <c r="J89" i="1"/>
  <c r="J88" i="1"/>
  <c r="J86" i="1"/>
  <c r="J85" i="1"/>
  <c r="J84" i="1"/>
  <c r="J83" i="1"/>
  <c r="J82" i="1"/>
  <c r="J81" i="1"/>
  <c r="J79" i="1"/>
  <c r="J78" i="1"/>
  <c r="J77" i="1"/>
  <c r="J76" i="1"/>
  <c r="J75" i="1"/>
  <c r="J74" i="1"/>
  <c r="J72" i="1"/>
  <c r="J71" i="1"/>
  <c r="J70" i="1"/>
  <c r="J69" i="1"/>
  <c r="J68" i="1"/>
  <c r="J67" i="1"/>
  <c r="J73" i="1" s="1"/>
  <c r="J65" i="1"/>
  <c r="J64" i="1"/>
  <c r="J63" i="1"/>
  <c r="J62" i="1"/>
  <c r="J61" i="1"/>
  <c r="J60" i="1"/>
  <c r="J58" i="1"/>
  <c r="J57" i="1"/>
  <c r="J56" i="1"/>
  <c r="J55" i="1"/>
  <c r="J54" i="1"/>
  <c r="J53" i="1"/>
  <c r="J51" i="1"/>
  <c r="J50" i="1"/>
  <c r="J49" i="1"/>
  <c r="J48" i="1"/>
  <c r="J47" i="1"/>
  <c r="J46" i="1"/>
  <c r="J44" i="1"/>
  <c r="J43" i="1"/>
  <c r="J42" i="1"/>
  <c r="J41" i="1"/>
  <c r="J40" i="1"/>
  <c r="J39" i="1"/>
  <c r="J35" i="1"/>
  <c r="J37" i="1"/>
  <c r="J36" i="1"/>
  <c r="J34" i="1"/>
  <c r="J33" i="1"/>
  <c r="J32" i="1"/>
  <c r="J25" i="1"/>
  <c r="J26" i="1"/>
  <c r="J27" i="1"/>
  <c r="J28" i="1"/>
  <c r="J30" i="1"/>
  <c r="J29" i="1"/>
  <c r="J18" i="1"/>
  <c r="J23" i="1"/>
  <c r="J22" i="1"/>
  <c r="J21" i="1"/>
  <c r="J20" i="1"/>
  <c r="J19" i="1"/>
  <c r="J14" i="1"/>
  <c r="J16" i="1"/>
  <c r="J15" i="1"/>
  <c r="J13" i="1"/>
  <c r="J12" i="1"/>
  <c r="J80" i="1" l="1"/>
  <c r="J192" i="1"/>
  <c r="J31" i="1"/>
  <c r="J87" i="1"/>
  <c r="J17" i="1"/>
  <c r="J38" i="1"/>
  <c r="J24" i="1"/>
  <c r="J94" i="1"/>
  <c r="J66" i="1"/>
  <c r="J108" i="1"/>
  <c r="J118" i="1"/>
  <c r="J45" i="1"/>
  <c r="J52" i="1"/>
  <c r="J59" i="1"/>
  <c r="J270" i="1"/>
  <c r="J272" i="1" s="1"/>
  <c r="J267" i="1"/>
  <c r="J266" i="1"/>
  <c r="J268" i="1" s="1"/>
  <c r="J263" i="1"/>
  <c r="J264" i="1" s="1"/>
  <c r="J261" i="1"/>
  <c r="J260" i="1"/>
  <c r="J262" i="1" s="1"/>
  <c r="J257" i="1"/>
  <c r="J258" i="1" s="1"/>
  <c r="J224" i="2"/>
  <c r="J227" i="2" s="1"/>
  <c r="J125" i="4"/>
  <c r="J126" i="4" s="1"/>
  <c r="J38" i="4"/>
  <c r="J39" i="4"/>
  <c r="J37" i="4"/>
  <c r="J36" i="4"/>
  <c r="J35" i="4"/>
  <c r="J34" i="4"/>
  <c r="J33" i="4"/>
  <c r="J32" i="4"/>
  <c r="J41" i="4" s="1"/>
  <c r="J150" i="5"/>
  <c r="J154" i="5" s="1"/>
  <c r="J142" i="5"/>
  <c r="J141" i="5"/>
  <c r="J140" i="5"/>
  <c r="J139" i="5"/>
  <c r="J138" i="5"/>
  <c r="J137" i="5"/>
  <c r="J143" i="5" s="1"/>
  <c r="J135" i="5"/>
  <c r="J134" i="5"/>
  <c r="J133" i="5"/>
  <c r="J132" i="5"/>
  <c r="J131" i="5"/>
  <c r="J130" i="5"/>
  <c r="J128" i="5"/>
  <c r="J127" i="5"/>
  <c r="J126" i="5"/>
  <c r="J125" i="5"/>
  <c r="J124" i="5"/>
  <c r="J123" i="5"/>
  <c r="J121" i="5"/>
  <c r="J120" i="5"/>
  <c r="J119" i="5"/>
  <c r="J118" i="5"/>
  <c r="J117" i="5"/>
  <c r="J122" i="5" s="1"/>
  <c r="J114" i="5"/>
  <c r="J113" i="5"/>
  <c r="J112" i="5"/>
  <c r="J111" i="5"/>
  <c r="J110" i="5"/>
  <c r="J109" i="5"/>
  <c r="J107" i="5"/>
  <c r="J106" i="5"/>
  <c r="J105" i="5"/>
  <c r="J104" i="5"/>
  <c r="J103" i="5"/>
  <c r="J102" i="5"/>
  <c r="J100" i="5"/>
  <c r="J99" i="5"/>
  <c r="J98" i="5"/>
  <c r="J97" i="5"/>
  <c r="J96" i="5"/>
  <c r="J95" i="5"/>
  <c r="J93" i="5"/>
  <c r="J92" i="5"/>
  <c r="J91" i="5"/>
  <c r="J90" i="5"/>
  <c r="J89" i="5"/>
  <c r="J88" i="5"/>
  <c r="J86" i="5"/>
  <c r="J85" i="5"/>
  <c r="J84" i="5"/>
  <c r="J83" i="5"/>
  <c r="J82" i="5"/>
  <c r="J81" i="5"/>
  <c r="J79" i="5"/>
  <c r="J78" i="5"/>
  <c r="J77" i="5"/>
  <c r="J76" i="5"/>
  <c r="J75" i="5"/>
  <c r="J72" i="5"/>
  <c r="J71" i="5"/>
  <c r="J70" i="5"/>
  <c r="J69" i="5"/>
  <c r="J68" i="5"/>
  <c r="J67" i="5"/>
  <c r="J65" i="5"/>
  <c r="J64" i="5"/>
  <c r="J63" i="5"/>
  <c r="J62" i="5"/>
  <c r="J61" i="5"/>
  <c r="J60" i="5"/>
  <c r="J58" i="5"/>
  <c r="J57" i="5"/>
  <c r="J56" i="5"/>
  <c r="J55" i="5"/>
  <c r="J54" i="5"/>
  <c r="J51" i="5"/>
  <c r="J50" i="5"/>
  <c r="J49" i="5"/>
  <c r="J48" i="5"/>
  <c r="J47" i="5"/>
  <c r="J44" i="5"/>
  <c r="J43" i="5"/>
  <c r="J42" i="5"/>
  <c r="J41" i="5"/>
  <c r="J40" i="5"/>
  <c r="J37" i="5"/>
  <c r="J36" i="5"/>
  <c r="J35" i="5"/>
  <c r="J34" i="5"/>
  <c r="J33" i="5"/>
  <c r="J30" i="5"/>
  <c r="J29" i="5"/>
  <c r="J28" i="5"/>
  <c r="J27" i="5"/>
  <c r="J26" i="5"/>
  <c r="J31" i="5" s="1"/>
  <c r="J23" i="5"/>
  <c r="J22" i="5"/>
  <c r="J21" i="5"/>
  <c r="J20" i="5"/>
  <c r="J19" i="5"/>
  <c r="J16" i="5"/>
  <c r="J15" i="5"/>
  <c r="J14" i="5"/>
  <c r="J13" i="5"/>
  <c r="J116" i="10"/>
  <c r="J115" i="10"/>
  <c r="J114" i="10"/>
  <c r="J113" i="10"/>
  <c r="J112" i="10"/>
  <c r="J110" i="10"/>
  <c r="J106" i="10"/>
  <c r="J105" i="10"/>
  <c r="J104" i="10"/>
  <c r="J103" i="10"/>
  <c r="J102" i="10"/>
  <c r="J101" i="10"/>
  <c r="J99" i="10"/>
  <c r="J98" i="10"/>
  <c r="J97" i="10"/>
  <c r="J96" i="10"/>
  <c r="J95" i="10"/>
  <c r="J100" i="10" s="1"/>
  <c r="J92" i="10"/>
  <c r="J91" i="10"/>
  <c r="J90" i="10"/>
  <c r="J89" i="10"/>
  <c r="J88" i="10"/>
  <c r="J87" i="10"/>
  <c r="J85" i="10"/>
  <c r="J84" i="10"/>
  <c r="J83" i="10"/>
  <c r="J82" i="10"/>
  <c r="J81" i="10"/>
  <c r="J80" i="10"/>
  <c r="J194" i="19"/>
  <c r="J195" i="19" s="1"/>
  <c r="J188" i="19"/>
  <c r="J187" i="19"/>
  <c r="J106" i="19"/>
  <c r="J76" i="19"/>
  <c r="J71" i="19"/>
  <c r="J70" i="19"/>
  <c r="J69" i="19"/>
  <c r="J68" i="19"/>
  <c r="J75" i="19"/>
  <c r="J74" i="19"/>
  <c r="J73" i="19"/>
  <c r="J72" i="19"/>
  <c r="J65" i="19"/>
  <c r="J64" i="19"/>
  <c r="J63" i="19"/>
  <c r="J62" i="19"/>
  <c r="J61" i="19"/>
  <c r="J60" i="19"/>
  <c r="J40" i="19"/>
  <c r="J58" i="19"/>
  <c r="J57" i="19"/>
  <c r="J56" i="19"/>
  <c r="J55" i="19"/>
  <c r="J54" i="19"/>
  <c r="J53" i="19"/>
  <c r="J51" i="19"/>
  <c r="J50" i="19"/>
  <c r="J49" i="19"/>
  <c r="J48" i="19"/>
  <c r="J47" i="19"/>
  <c r="J44" i="19"/>
  <c r="J43" i="19"/>
  <c r="J42" i="19"/>
  <c r="J41" i="19"/>
  <c r="J37" i="19"/>
  <c r="J36" i="19"/>
  <c r="J35" i="19"/>
  <c r="J34" i="19"/>
  <c r="J33" i="19"/>
  <c r="J32" i="19"/>
  <c r="J30" i="19"/>
  <c r="J29" i="19"/>
  <c r="J28" i="19"/>
  <c r="J27" i="19"/>
  <c r="J26" i="19"/>
  <c r="J25" i="19"/>
  <c r="J23" i="19"/>
  <c r="J22" i="19"/>
  <c r="J21" i="19"/>
  <c r="J20" i="19"/>
  <c r="J19" i="19"/>
  <c r="J18" i="19"/>
  <c r="J12" i="19"/>
  <c r="J14" i="19"/>
  <c r="J16" i="19"/>
  <c r="J15" i="19"/>
  <c r="J13" i="19"/>
  <c r="J38" i="19" l="1"/>
  <c r="J59" i="19"/>
  <c r="J108" i="5"/>
  <c r="J24" i="19"/>
  <c r="J66" i="19"/>
  <c r="J31" i="19"/>
  <c r="J52" i="19"/>
  <c r="J45" i="5"/>
  <c r="J66" i="5"/>
  <c r="J115" i="5"/>
  <c r="J17" i="19"/>
  <c r="J107" i="10"/>
  <c r="J24" i="5"/>
  <c r="J136" i="5"/>
  <c r="J45" i="19"/>
  <c r="J86" i="10"/>
  <c r="J93" i="10"/>
  <c r="J38" i="5"/>
  <c r="J129" i="5"/>
  <c r="J189" i="19"/>
  <c r="J101" i="5"/>
  <c r="J118" i="10"/>
  <c r="J17" i="5"/>
  <c r="J52" i="5"/>
  <c r="J73" i="5"/>
  <c r="J59" i="5"/>
  <c r="J87" i="5"/>
  <c r="J80" i="5"/>
  <c r="J94" i="5"/>
  <c r="J77" i="19"/>
  <c r="D53" i="28"/>
  <c r="G47" i="28"/>
  <c r="H47" i="28" s="1"/>
  <c r="G52" i="28"/>
  <c r="H52" i="28" s="1"/>
  <c r="G51" i="28"/>
  <c r="H51" i="28" s="1"/>
  <c r="D50" i="28"/>
  <c r="G50" i="28" s="1"/>
  <c r="H50" i="28" s="1"/>
  <c r="D49" i="28"/>
  <c r="G49" i="28" s="1"/>
  <c r="H49" i="28" s="1"/>
  <c r="D48" i="28"/>
  <c r="G48" i="28" s="1"/>
  <c r="H48" i="28" s="1"/>
  <c r="D46" i="28"/>
  <c r="G46" i="28" s="1"/>
  <c r="H46" i="28" s="1"/>
  <c r="D45" i="28"/>
  <c r="G45" i="28" s="1"/>
  <c r="H45" i="28" s="1"/>
  <c r="D40" i="28"/>
  <c r="G39" i="28"/>
  <c r="H39" i="28" s="1"/>
  <c r="G38" i="28"/>
  <c r="H38" i="28" s="1"/>
  <c r="D36" i="28"/>
  <c r="G35" i="28"/>
  <c r="H35" i="28" s="1"/>
  <c r="J174" i="12"/>
  <c r="J177" i="12" s="1"/>
  <c r="D33" i="28"/>
  <c r="D23" i="28"/>
  <c r="G32" i="28"/>
  <c r="H32" i="28" s="1"/>
  <c r="J31" i="28"/>
  <c r="G31" i="28"/>
  <c r="K31" i="28" s="1"/>
  <c r="J30" i="28"/>
  <c r="G30" i="28"/>
  <c r="H30" i="28" s="1"/>
  <c r="J110" i="12"/>
  <c r="D26" i="28"/>
  <c r="G26" i="28" s="1"/>
  <c r="H26" i="28" s="1"/>
  <c r="G25" i="28"/>
  <c r="H25" i="28" s="1"/>
  <c r="I71" i="12"/>
  <c r="J71" i="12"/>
  <c r="G22" i="28"/>
  <c r="H22" i="28" s="1"/>
  <c r="G53" i="28" l="1"/>
  <c r="H53" i="28" s="1"/>
  <c r="G36" i="28"/>
  <c r="H36" i="28" s="1"/>
  <c r="G40" i="28"/>
  <c r="H40" i="28" s="1"/>
  <c r="G33" i="28"/>
  <c r="H33" i="28" s="1"/>
  <c r="D27" i="28"/>
  <c r="G27" i="28"/>
  <c r="H27" i="28" s="1"/>
  <c r="G23" i="28"/>
  <c r="H23" i="28" s="1"/>
  <c r="H31" i="28"/>
  <c r="I30" i="28"/>
  <c r="I31" i="28"/>
  <c r="K30" i="28"/>
  <c r="J77" i="12"/>
  <c r="J75" i="12"/>
  <c r="J74" i="12"/>
  <c r="J55" i="12"/>
  <c r="J34" i="12"/>
  <c r="J36" i="12" s="1"/>
  <c r="J53" i="12"/>
  <c r="D20" i="28"/>
  <c r="G19" i="28"/>
  <c r="H19" i="28" s="1"/>
  <c r="G18" i="28"/>
  <c r="H18" i="28" s="1"/>
  <c r="G34" i="12"/>
  <c r="I34" i="12" s="1"/>
  <c r="I36" i="12" s="1"/>
  <c r="D15" i="28"/>
  <c r="F14" i="28"/>
  <c r="G14" i="28" s="1"/>
  <c r="H14" i="28" s="1"/>
  <c r="D13" i="28"/>
  <c r="G13" i="28" s="1"/>
  <c r="H13" i="28" s="1"/>
  <c r="D12" i="28"/>
  <c r="G12" i="28" s="1"/>
  <c r="H12" i="28" s="1"/>
  <c r="D11" i="28"/>
  <c r="G11" i="28" s="1"/>
  <c r="H11" i="28" s="1"/>
  <c r="D10" i="28"/>
  <c r="G10" i="28" s="1"/>
  <c r="H10" i="28" s="1"/>
  <c r="D9" i="28"/>
  <c r="K34" i="12" l="1"/>
  <c r="K36" i="12" s="1"/>
  <c r="J56" i="12"/>
  <c r="G9" i="28"/>
  <c r="H9" i="28" s="1"/>
  <c r="G20" i="28"/>
  <c r="H20" i="28" s="1"/>
  <c r="D16" i="28"/>
  <c r="G15" i="28"/>
  <c r="H15" i="28" s="1"/>
  <c r="G99" i="12"/>
  <c r="G105" i="12"/>
  <c r="H105" i="12" s="1"/>
  <c r="D107" i="12"/>
  <c r="D118" i="12"/>
  <c r="D113" i="12"/>
  <c r="D114" i="12"/>
  <c r="D115" i="12"/>
  <c r="G112" i="12"/>
  <c r="H112" i="12" s="1"/>
  <c r="F117" i="12"/>
  <c r="D117" i="12"/>
  <c r="D116" i="12"/>
  <c r="D154" i="12"/>
  <c r="G154" i="12" s="1"/>
  <c r="H154" i="12" s="1"/>
  <c r="D141" i="12"/>
  <c r="G141" i="12" s="1"/>
  <c r="H141" i="12" s="1"/>
  <c r="D140" i="12"/>
  <c r="G140" i="12" s="1"/>
  <c r="H140" i="12" s="1"/>
  <c r="C22" i="27"/>
  <c r="H21" i="27"/>
  <c r="D162" i="5"/>
  <c r="H99" i="12" l="1"/>
  <c r="I99" i="12"/>
  <c r="K99" i="12"/>
  <c r="G16" i="28"/>
  <c r="H16" i="28" s="1"/>
  <c r="G117" i="12"/>
  <c r="H117" i="12" s="1"/>
  <c r="G169" i="12"/>
  <c r="G142" i="12" l="1"/>
  <c r="G143" i="12"/>
  <c r="H143" i="12" s="1"/>
  <c r="D146" i="12"/>
  <c r="G146" i="12" s="1"/>
  <c r="H146" i="12" s="1"/>
  <c r="H145" i="12"/>
  <c r="D144" i="12"/>
  <c r="G144" i="12" s="1"/>
  <c r="H144" i="12" s="1"/>
  <c r="H142" i="12" l="1"/>
  <c r="H147" i="12" s="1"/>
  <c r="D88" i="19" l="1"/>
  <c r="D81" i="19"/>
  <c r="D122" i="10"/>
  <c r="D66" i="9"/>
  <c r="D158" i="7"/>
  <c r="J158" i="7" s="1"/>
  <c r="C16" i="27" l="1"/>
  <c r="I13" i="16"/>
  <c r="I15" i="16"/>
  <c r="I14" i="16"/>
  <c r="I12" i="16"/>
  <c r="I11" i="16"/>
  <c r="I10" i="16"/>
  <c r="I9" i="16"/>
  <c r="I8" i="16"/>
  <c r="I7" i="16"/>
  <c r="I6" i="16"/>
  <c r="I5" i="16"/>
  <c r="O17" i="16"/>
  <c r="L11" i="16"/>
  <c r="L9" i="16"/>
  <c r="L5" i="16"/>
  <c r="L15" i="16"/>
  <c r="L14" i="16"/>
  <c r="L13" i="16"/>
  <c r="L12" i="16"/>
  <c r="L10" i="16"/>
  <c r="L8" i="16"/>
  <c r="L7" i="16"/>
  <c r="L6" i="16"/>
  <c r="J15" i="16"/>
  <c r="K15" i="16" s="1"/>
  <c r="J14" i="16"/>
  <c r="K14" i="16" s="1"/>
  <c r="J13" i="16"/>
  <c r="K13" i="16" s="1"/>
  <c r="J12" i="16"/>
  <c r="K12" i="16" s="1"/>
  <c r="J11" i="16"/>
  <c r="K11" i="16" s="1"/>
  <c r="J10" i="16"/>
  <c r="K10" i="16" s="1"/>
  <c r="J9" i="16"/>
  <c r="K9" i="16" s="1"/>
  <c r="J8" i="16"/>
  <c r="K8" i="16" s="1"/>
  <c r="J7" i="16"/>
  <c r="K7" i="16" s="1"/>
  <c r="J6" i="16"/>
  <c r="K6" i="16" s="1"/>
  <c r="J5" i="16"/>
  <c r="K5" i="16" s="1"/>
  <c r="B17" i="16"/>
  <c r="C17" i="16"/>
  <c r="D17" i="16"/>
  <c r="E17" i="16"/>
  <c r="F17" i="16"/>
  <c r="G17" i="16"/>
  <c r="G51" i="12"/>
  <c r="H51" i="12" s="1"/>
  <c r="G38" i="12"/>
  <c r="G39" i="12" s="1"/>
  <c r="G131" i="12"/>
  <c r="H131" i="12" s="1"/>
  <c r="G132" i="12"/>
  <c r="H132" i="12" s="1"/>
  <c r="G133" i="12"/>
  <c r="H133" i="12" s="1"/>
  <c r="G129" i="12"/>
  <c r="G156" i="12"/>
  <c r="H156" i="12" s="1"/>
  <c r="G155" i="12"/>
  <c r="H155" i="12" s="1"/>
  <c r="G153" i="12"/>
  <c r="H153" i="12" s="1"/>
  <c r="G152" i="12"/>
  <c r="H152" i="12" s="1"/>
  <c r="G151" i="12"/>
  <c r="H151" i="12" s="1"/>
  <c r="G150" i="12"/>
  <c r="H150" i="12" s="1"/>
  <c r="G149" i="12"/>
  <c r="G104" i="12"/>
  <c r="G100" i="12"/>
  <c r="G95" i="12"/>
  <c r="H95" i="12" l="1"/>
  <c r="K95" i="12"/>
  <c r="I95" i="12"/>
  <c r="H100" i="12"/>
  <c r="I100" i="12"/>
  <c r="K100" i="12"/>
  <c r="H149" i="12"/>
  <c r="H157" i="12" s="1"/>
  <c r="G157" i="12"/>
  <c r="H129" i="12"/>
  <c r="I17" i="16"/>
  <c r="L17" i="16"/>
  <c r="J17" i="16"/>
  <c r="K17" i="16"/>
  <c r="H38" i="12"/>
  <c r="H39" i="12" s="1"/>
  <c r="G64" i="12" l="1"/>
  <c r="H64" i="12" s="1"/>
  <c r="J10" i="12"/>
  <c r="J32" i="12" s="1"/>
  <c r="D30" i="12" l="1"/>
  <c r="G139" i="12"/>
  <c r="H139" i="12" s="1"/>
  <c r="G188" i="19"/>
  <c r="G256" i="10"/>
  <c r="G163" i="9"/>
  <c r="G212" i="8"/>
  <c r="G321" i="7"/>
  <c r="G151" i="6"/>
  <c r="G320" i="5"/>
  <c r="G129" i="4"/>
  <c r="G188" i="3"/>
  <c r="I188" i="3" s="1"/>
  <c r="G229" i="2"/>
  <c r="G230" i="2"/>
  <c r="G261" i="1"/>
  <c r="I261" i="1" s="1"/>
  <c r="G135" i="12"/>
  <c r="H135" i="12" s="1"/>
  <c r="G168" i="10"/>
  <c r="H168" i="10" s="1"/>
  <c r="G147" i="2"/>
  <c r="D120" i="19"/>
  <c r="D166" i="10"/>
  <c r="D103" i="9"/>
  <c r="D136" i="8"/>
  <c r="D209" i="7"/>
  <c r="D95" i="6"/>
  <c r="J95" i="6" s="1"/>
  <c r="J99" i="6" s="1"/>
  <c r="D208" i="5"/>
  <c r="D81" i="4"/>
  <c r="D121" i="3"/>
  <c r="D146" i="2"/>
  <c r="G162" i="1"/>
  <c r="G161" i="1"/>
  <c r="G139" i="2"/>
  <c r="G138" i="2"/>
  <c r="G114" i="3"/>
  <c r="G113" i="3"/>
  <c r="G74" i="4"/>
  <c r="G73" i="4"/>
  <c r="G201" i="5"/>
  <c r="G200" i="5"/>
  <c r="G88" i="6"/>
  <c r="G87" i="6"/>
  <c r="G202" i="7"/>
  <c r="G201" i="7"/>
  <c r="G129" i="8"/>
  <c r="G128" i="8"/>
  <c r="G96" i="9"/>
  <c r="G95" i="9"/>
  <c r="G112" i="19"/>
  <c r="G113" i="19"/>
  <c r="G158" i="10"/>
  <c r="G159" i="10"/>
  <c r="G18" i="12"/>
  <c r="G22" i="12"/>
  <c r="G19" i="12"/>
  <c r="G20" i="12"/>
  <c r="G15" i="12"/>
  <c r="G16" i="12"/>
  <c r="G17" i="12"/>
  <c r="G21" i="12"/>
  <c r="G13" i="12"/>
  <c r="G14" i="12"/>
  <c r="G27" i="12"/>
  <c r="H27" i="12" s="1"/>
  <c r="G26" i="12"/>
  <c r="H26" i="12" s="1"/>
  <c r="D127" i="10"/>
  <c r="D85" i="19"/>
  <c r="G138" i="12"/>
  <c r="D157" i="5"/>
  <c r="J157" i="5" s="1"/>
  <c r="J176" i="5" s="1"/>
  <c r="G60" i="12"/>
  <c r="H60" i="12" s="1"/>
  <c r="D80" i="19"/>
  <c r="J80" i="19" s="1"/>
  <c r="D82" i="19"/>
  <c r="J82" i="19" s="1"/>
  <c r="D129" i="10"/>
  <c r="D85" i="3"/>
  <c r="D51" i="4"/>
  <c r="D163" i="7"/>
  <c r="D73" i="9"/>
  <c r="D71" i="9"/>
  <c r="D67" i="9"/>
  <c r="D65" i="9"/>
  <c r="J65" i="9" s="1"/>
  <c r="D102" i="8"/>
  <c r="D100" i="8"/>
  <c r="D95" i="8"/>
  <c r="D96" i="8"/>
  <c r="D94" i="8"/>
  <c r="J94" i="8" s="1"/>
  <c r="D166" i="7"/>
  <c r="D164" i="7"/>
  <c r="D64" i="6"/>
  <c r="D160" i="7"/>
  <c r="D159" i="7"/>
  <c r="D66" i="6"/>
  <c r="D59" i="6"/>
  <c r="D58" i="6"/>
  <c r="J58" i="6" s="1"/>
  <c r="D60" i="6"/>
  <c r="D163" i="5"/>
  <c r="D160" i="5"/>
  <c r="D165" i="5"/>
  <c r="D89" i="3"/>
  <c r="G110" i="2"/>
  <c r="H110" i="2" s="1"/>
  <c r="D129" i="1"/>
  <c r="G128" i="1"/>
  <c r="H128" i="1" s="1"/>
  <c r="D83" i="3"/>
  <c r="D81" i="3"/>
  <c r="D80" i="3"/>
  <c r="J80" i="3" s="1"/>
  <c r="J100" i="3" s="1"/>
  <c r="D112" i="2"/>
  <c r="D127" i="1"/>
  <c r="D124" i="1"/>
  <c r="D121" i="1"/>
  <c r="J121" i="1" s="1"/>
  <c r="J142" i="1" s="1"/>
  <c r="D158" i="5"/>
  <c r="D46" i="4"/>
  <c r="G134" i="5"/>
  <c r="G63" i="4"/>
  <c r="H63" i="4" s="1"/>
  <c r="D54" i="4"/>
  <c r="D48" i="4"/>
  <c r="G80" i="12"/>
  <c r="G266" i="10"/>
  <c r="G265" i="10"/>
  <c r="G271" i="1"/>
  <c r="H271" i="1" s="1"/>
  <c r="G270" i="1"/>
  <c r="G194" i="19"/>
  <c r="G262" i="10"/>
  <c r="G169" i="9"/>
  <c r="G218" i="8"/>
  <c r="G327" i="7"/>
  <c r="G157" i="6"/>
  <c r="G326" i="5"/>
  <c r="G135" i="4"/>
  <c r="G194" i="3"/>
  <c r="G236" i="2"/>
  <c r="G267" i="1"/>
  <c r="G266" i="1"/>
  <c r="I266" i="1" s="1"/>
  <c r="G235" i="2"/>
  <c r="G193" i="3"/>
  <c r="I193" i="3" s="1"/>
  <c r="G134" i="4"/>
  <c r="G325" i="5"/>
  <c r="G156" i="6"/>
  <c r="G326" i="7"/>
  <c r="G217" i="8"/>
  <c r="G168" i="9"/>
  <c r="G261" i="10"/>
  <c r="G193" i="19"/>
  <c r="G265" i="1"/>
  <c r="H265" i="1" s="1"/>
  <c r="G234" i="2"/>
  <c r="G192" i="3"/>
  <c r="H192" i="3" s="1"/>
  <c r="G133" i="4"/>
  <c r="H133" i="4" s="1"/>
  <c r="G324" i="5"/>
  <c r="H324" i="5" s="1"/>
  <c r="G155" i="6"/>
  <c r="H155" i="6" s="1"/>
  <c r="G325" i="7"/>
  <c r="G216" i="8"/>
  <c r="H216" i="8" s="1"/>
  <c r="G167" i="9"/>
  <c r="H167" i="9" s="1"/>
  <c r="G260" i="10"/>
  <c r="H260" i="10" s="1"/>
  <c r="G192" i="19"/>
  <c r="G187" i="19"/>
  <c r="G255" i="10"/>
  <c r="G162" i="9"/>
  <c r="G10" i="9"/>
  <c r="G211" i="8"/>
  <c r="G323" i="7"/>
  <c r="G320" i="7"/>
  <c r="H138" i="12" l="1"/>
  <c r="H255" i="10"/>
  <c r="K255" i="10"/>
  <c r="I255" i="10"/>
  <c r="H139" i="2"/>
  <c r="K139" i="2"/>
  <c r="I139" i="2"/>
  <c r="H236" i="2"/>
  <c r="I236" i="2"/>
  <c r="K236" i="2"/>
  <c r="H95" i="9"/>
  <c r="K95" i="9"/>
  <c r="I95" i="9"/>
  <c r="H19" i="12"/>
  <c r="I19" i="12"/>
  <c r="K19" i="12"/>
  <c r="H96" i="9"/>
  <c r="I96" i="9"/>
  <c r="K96" i="9"/>
  <c r="H230" i="2"/>
  <c r="I230" i="2"/>
  <c r="K230" i="2"/>
  <c r="I163" i="9"/>
  <c r="K163" i="9"/>
  <c r="H135" i="4"/>
  <c r="K135" i="4"/>
  <c r="I135" i="4"/>
  <c r="D161" i="7"/>
  <c r="J160" i="7"/>
  <c r="J177" i="7" s="1"/>
  <c r="I14" i="12"/>
  <c r="K14" i="12"/>
  <c r="H22" i="12"/>
  <c r="K22" i="12"/>
  <c r="I22" i="12"/>
  <c r="I128" i="8"/>
  <c r="K128" i="8"/>
  <c r="H73" i="4"/>
  <c r="I73" i="4"/>
  <c r="K73" i="4"/>
  <c r="I229" i="2"/>
  <c r="K229" i="2"/>
  <c r="I256" i="10"/>
  <c r="K256" i="10"/>
  <c r="K217" i="8"/>
  <c r="I217" i="8"/>
  <c r="H80" i="12"/>
  <c r="K80" i="12"/>
  <c r="I80" i="12"/>
  <c r="H15" i="12"/>
  <c r="I15" i="12"/>
  <c r="K15" i="12"/>
  <c r="H321" i="7"/>
  <c r="K321" i="7"/>
  <c r="I321" i="7"/>
  <c r="I212" i="8"/>
  <c r="K212" i="8"/>
  <c r="H323" i="7"/>
  <c r="K323" i="7"/>
  <c r="I323" i="7"/>
  <c r="H18" i="12"/>
  <c r="K18" i="12"/>
  <c r="I18" i="12"/>
  <c r="H74" i="4"/>
  <c r="K74" i="4"/>
  <c r="I74" i="4"/>
  <c r="H265" i="10"/>
  <c r="K265" i="10"/>
  <c r="I265" i="10"/>
  <c r="I267" i="10" s="1"/>
  <c r="H21" i="12"/>
  <c r="I21" i="12"/>
  <c r="K21" i="12"/>
  <c r="H159" i="10"/>
  <c r="K159" i="10"/>
  <c r="I159" i="10"/>
  <c r="H129" i="4"/>
  <c r="I129" i="4"/>
  <c r="K129" i="4"/>
  <c r="H187" i="19"/>
  <c r="I187" i="19"/>
  <c r="K187" i="19"/>
  <c r="H262" i="10"/>
  <c r="H263" i="10" s="1"/>
  <c r="I262" i="10"/>
  <c r="K262" i="10"/>
  <c r="D97" i="8"/>
  <c r="J96" i="8"/>
  <c r="J113" i="8" s="1"/>
  <c r="H20" i="12"/>
  <c r="I20" i="12"/>
  <c r="K20" i="12"/>
  <c r="H194" i="19"/>
  <c r="K194" i="19"/>
  <c r="I194" i="19"/>
  <c r="I13" i="12"/>
  <c r="K13" i="12"/>
  <c r="I211" i="8"/>
  <c r="K211" i="8"/>
  <c r="H193" i="19"/>
  <c r="I193" i="19"/>
  <c r="K193" i="19"/>
  <c r="H10" i="9"/>
  <c r="K10" i="9"/>
  <c r="I10" i="9"/>
  <c r="H261" i="10"/>
  <c r="K261" i="10"/>
  <c r="I261" i="10"/>
  <c r="H235" i="2"/>
  <c r="I235" i="2"/>
  <c r="I237" i="2" s="1"/>
  <c r="K235" i="2"/>
  <c r="H327" i="7"/>
  <c r="I327" i="7"/>
  <c r="K327" i="7"/>
  <c r="H266" i="10"/>
  <c r="K266" i="10"/>
  <c r="D61" i="6"/>
  <c r="J60" i="6"/>
  <c r="J77" i="6" s="1"/>
  <c r="D68" i="9"/>
  <c r="J67" i="9"/>
  <c r="J84" i="9" s="1"/>
  <c r="J99" i="19"/>
  <c r="H17" i="12"/>
  <c r="K17" i="12"/>
  <c r="I17" i="12"/>
  <c r="H158" i="10"/>
  <c r="K158" i="10"/>
  <c r="I158" i="10"/>
  <c r="H147" i="2"/>
  <c r="I147" i="2"/>
  <c r="K147" i="2"/>
  <c r="H169" i="9"/>
  <c r="K169" i="9"/>
  <c r="I169" i="9"/>
  <c r="H134" i="4"/>
  <c r="K134" i="4"/>
  <c r="I134" i="4"/>
  <c r="K129" i="8"/>
  <c r="I129" i="8"/>
  <c r="H188" i="19"/>
  <c r="K188" i="19"/>
  <c r="I188" i="19"/>
  <c r="H162" i="9"/>
  <c r="K162" i="9"/>
  <c r="I162" i="9"/>
  <c r="H168" i="9"/>
  <c r="K168" i="9"/>
  <c r="I168" i="9"/>
  <c r="I218" i="8"/>
  <c r="K218" i="8"/>
  <c r="G81" i="12"/>
  <c r="J81" i="12"/>
  <c r="J89" i="12" s="1"/>
  <c r="J196" i="12" s="1"/>
  <c r="F14" i="27" s="1"/>
  <c r="H16" i="12"/>
  <c r="K16" i="12"/>
  <c r="I16" i="12"/>
  <c r="H138" i="2"/>
  <c r="I138" i="2"/>
  <c r="K138" i="2"/>
  <c r="H320" i="7"/>
  <c r="I320" i="7"/>
  <c r="K320" i="7"/>
  <c r="H326" i="7"/>
  <c r="K326" i="7"/>
  <c r="I326" i="7"/>
  <c r="H201" i="7"/>
  <c r="K201" i="7"/>
  <c r="I201" i="7"/>
  <c r="H325" i="7"/>
  <c r="H202" i="7"/>
  <c r="K202" i="7"/>
  <c r="I202" i="7"/>
  <c r="H193" i="3"/>
  <c r="K193" i="3"/>
  <c r="H194" i="3"/>
  <c r="I194" i="3"/>
  <c r="I195" i="3" s="1"/>
  <c r="K194" i="3"/>
  <c r="H188" i="3"/>
  <c r="K188" i="3"/>
  <c r="H113" i="3"/>
  <c r="K113" i="3"/>
  <c r="I113" i="3"/>
  <c r="G89" i="3"/>
  <c r="H114" i="3"/>
  <c r="K114" i="3"/>
  <c r="I114" i="3"/>
  <c r="H266" i="1"/>
  <c r="K266" i="1"/>
  <c r="H267" i="1"/>
  <c r="H268" i="1" s="1"/>
  <c r="I267" i="1"/>
  <c r="K267" i="1"/>
  <c r="H270" i="1"/>
  <c r="I270" i="1"/>
  <c r="I272" i="1" s="1"/>
  <c r="K270" i="1"/>
  <c r="H161" i="1"/>
  <c r="K161" i="1"/>
  <c r="I161" i="1"/>
  <c r="H261" i="1"/>
  <c r="K261" i="1"/>
  <c r="H162" i="1"/>
  <c r="K162" i="1"/>
  <c r="I162" i="1"/>
  <c r="H326" i="5"/>
  <c r="K326" i="5"/>
  <c r="I326" i="5"/>
  <c r="H200" i="5"/>
  <c r="K200" i="5"/>
  <c r="I200" i="5"/>
  <c r="H325" i="5"/>
  <c r="I325" i="5"/>
  <c r="K325" i="5"/>
  <c r="I134" i="5"/>
  <c r="K134" i="5"/>
  <c r="H201" i="5"/>
  <c r="I201" i="5"/>
  <c r="K201" i="5"/>
  <c r="H320" i="5"/>
  <c r="I320" i="5"/>
  <c r="K320" i="5"/>
  <c r="H87" i="6"/>
  <c r="K87" i="6"/>
  <c r="I87" i="6"/>
  <c r="H88" i="6"/>
  <c r="K88" i="6"/>
  <c r="I88" i="6"/>
  <c r="H157" i="6"/>
  <c r="K157" i="6"/>
  <c r="I157" i="6"/>
  <c r="H151" i="6"/>
  <c r="I151" i="6"/>
  <c r="K151" i="6"/>
  <c r="H156" i="6"/>
  <c r="K156" i="6"/>
  <c r="I156" i="6"/>
  <c r="H217" i="8"/>
  <c r="H129" i="8"/>
  <c r="H218" i="8"/>
  <c r="H128" i="8"/>
  <c r="H212" i="8"/>
  <c r="H211" i="8"/>
  <c r="H113" i="19"/>
  <c r="I113" i="19"/>
  <c r="K113" i="19"/>
  <c r="H112" i="19"/>
  <c r="K112" i="19"/>
  <c r="I112" i="19"/>
  <c r="H322" i="7"/>
  <c r="H328" i="7" s="1"/>
  <c r="G164" i="9"/>
  <c r="G257" i="10"/>
  <c r="H234" i="2"/>
  <c r="G237" i="2"/>
  <c r="H229" i="2"/>
  <c r="G231" i="2"/>
  <c r="H192" i="19"/>
  <c r="G195" i="19"/>
  <c r="G189" i="19"/>
  <c r="H256" i="10"/>
  <c r="H257" i="10" s="1"/>
  <c r="H267" i="10"/>
  <c r="H163" i="9"/>
  <c r="G213" i="8"/>
  <c r="G322" i="7"/>
  <c r="H272" i="1"/>
  <c r="G263" i="10"/>
  <c r="G272" i="1"/>
  <c r="G268" i="1"/>
  <c r="G267" i="10"/>
  <c r="H231" i="2" l="1"/>
  <c r="I257" i="10"/>
  <c r="I231" i="2"/>
  <c r="I263" i="10"/>
  <c r="I170" i="9"/>
  <c r="H195" i="19"/>
  <c r="I328" i="7"/>
  <c r="H189" i="19"/>
  <c r="I136" i="4"/>
  <c r="H164" i="9"/>
  <c r="I268" i="1"/>
  <c r="I195" i="19"/>
  <c r="I219" i="8"/>
  <c r="H81" i="12"/>
  <c r="K81" i="12"/>
  <c r="I81" i="12"/>
  <c r="I158" i="6"/>
  <c r="I327" i="5"/>
  <c r="I213" i="8"/>
  <c r="I189" i="19"/>
  <c r="H237" i="2"/>
  <c r="I322" i="7"/>
  <c r="I164" i="9"/>
  <c r="G328" i="7"/>
  <c r="H89" i="3"/>
  <c r="H213" i="8"/>
  <c r="D256" i="1"/>
  <c r="G63" i="19"/>
  <c r="G56" i="19"/>
  <c r="G49" i="19"/>
  <c r="G42" i="19"/>
  <c r="G35" i="19"/>
  <c r="G28" i="19"/>
  <c r="G14" i="19"/>
  <c r="G21" i="19"/>
  <c r="G104" i="10"/>
  <c r="G97" i="10"/>
  <c r="G90" i="10"/>
  <c r="G83" i="10"/>
  <c r="G76" i="10"/>
  <c r="G69" i="10"/>
  <c r="G62" i="10"/>
  <c r="G55" i="10"/>
  <c r="G48" i="10"/>
  <c r="G41" i="10"/>
  <c r="G34" i="10"/>
  <c r="G27" i="10"/>
  <c r="G20" i="10"/>
  <c r="G13" i="10"/>
  <c r="G48" i="9"/>
  <c r="G41" i="9"/>
  <c r="G34" i="9"/>
  <c r="G27" i="9"/>
  <c r="G20" i="9"/>
  <c r="G13" i="9"/>
  <c r="G77" i="8"/>
  <c r="G70" i="8"/>
  <c r="G63" i="8"/>
  <c r="G56" i="8"/>
  <c r="G49" i="8"/>
  <c r="G42" i="8"/>
  <c r="G35" i="8"/>
  <c r="G28" i="8"/>
  <c r="G14" i="8"/>
  <c r="G21" i="8"/>
  <c r="G141" i="7"/>
  <c r="G134" i="7"/>
  <c r="G127" i="7"/>
  <c r="G120" i="7"/>
  <c r="I120" i="7" s="1"/>
  <c r="G113" i="7"/>
  <c r="I113" i="7" s="1"/>
  <c r="G106" i="7"/>
  <c r="I106" i="7" s="1"/>
  <c r="G99" i="7"/>
  <c r="I99" i="7" s="1"/>
  <c r="G92" i="7"/>
  <c r="I92" i="7" s="1"/>
  <c r="G85" i="7"/>
  <c r="G78" i="7"/>
  <c r="G71" i="7"/>
  <c r="G64" i="7"/>
  <c r="G57" i="7"/>
  <c r="G49" i="7"/>
  <c r="G50" i="7"/>
  <c r="G42" i="7"/>
  <c r="G35" i="7"/>
  <c r="G28" i="7"/>
  <c r="G21" i="7"/>
  <c r="G14" i="7"/>
  <c r="G14" i="6"/>
  <c r="G42" i="6"/>
  <c r="G35" i="6"/>
  <c r="G28" i="6"/>
  <c r="G21" i="6"/>
  <c r="G140" i="5"/>
  <c r="G133" i="5"/>
  <c r="G126" i="5"/>
  <c r="G119" i="5"/>
  <c r="G112" i="5"/>
  <c r="G105" i="5"/>
  <c r="G98" i="5"/>
  <c r="G91" i="5"/>
  <c r="G84" i="5"/>
  <c r="G77" i="5"/>
  <c r="G70" i="5"/>
  <c r="G63" i="5"/>
  <c r="G56" i="5"/>
  <c r="G49" i="5"/>
  <c r="G42" i="5"/>
  <c r="G35" i="5"/>
  <c r="G28" i="5"/>
  <c r="G21" i="5"/>
  <c r="G14" i="5"/>
  <c r="G125" i="5"/>
  <c r="G13" i="4"/>
  <c r="G27" i="4"/>
  <c r="G20" i="4"/>
  <c r="G63" i="3"/>
  <c r="G56" i="3"/>
  <c r="G49" i="3"/>
  <c r="G42" i="3"/>
  <c r="G35" i="3"/>
  <c r="G28" i="3"/>
  <c r="G21" i="3"/>
  <c r="G14" i="3"/>
  <c r="G83" i="2"/>
  <c r="G76" i="2"/>
  <c r="G69" i="2"/>
  <c r="G62" i="2"/>
  <c r="G55" i="2"/>
  <c r="G48" i="2"/>
  <c r="G41" i="2"/>
  <c r="G34" i="2"/>
  <c r="G27" i="2"/>
  <c r="G20" i="2"/>
  <c r="G13" i="2"/>
  <c r="G105" i="1"/>
  <c r="G98" i="1"/>
  <c r="G91" i="1"/>
  <c r="G84" i="1"/>
  <c r="G77" i="1"/>
  <c r="G70" i="1"/>
  <c r="G63" i="1"/>
  <c r="G56" i="1"/>
  <c r="G49" i="1"/>
  <c r="G42" i="1"/>
  <c r="G35" i="1"/>
  <c r="G28" i="1"/>
  <c r="G21" i="1"/>
  <c r="G14" i="1"/>
  <c r="G89" i="19"/>
  <c r="D86" i="19"/>
  <c r="D83" i="19"/>
  <c r="H69" i="2" l="1"/>
  <c r="K69" i="2"/>
  <c r="I69" i="2"/>
  <c r="H104" i="10"/>
  <c r="K104" i="10"/>
  <c r="I104" i="10"/>
  <c r="H55" i="10"/>
  <c r="I55" i="10"/>
  <c r="K55" i="10"/>
  <c r="H27" i="2"/>
  <c r="K27" i="2"/>
  <c r="I27" i="2"/>
  <c r="K21" i="6"/>
  <c r="I21" i="6"/>
  <c r="K141" i="7"/>
  <c r="I141" i="7"/>
  <c r="H48" i="9"/>
  <c r="K48" i="9"/>
  <c r="I48" i="9"/>
  <c r="H62" i="10"/>
  <c r="K62" i="10"/>
  <c r="I62" i="10"/>
  <c r="H34" i="2"/>
  <c r="K34" i="2"/>
  <c r="I34" i="2"/>
  <c r="H20" i="4"/>
  <c r="K20" i="4"/>
  <c r="I20" i="4"/>
  <c r="K28" i="6"/>
  <c r="I28" i="6"/>
  <c r="K70" i="8"/>
  <c r="I70" i="8"/>
  <c r="H13" i="10"/>
  <c r="K13" i="10"/>
  <c r="I13" i="10"/>
  <c r="H69" i="10"/>
  <c r="K69" i="10"/>
  <c r="I69" i="10"/>
  <c r="H48" i="10"/>
  <c r="I48" i="10"/>
  <c r="K48" i="10"/>
  <c r="H76" i="10"/>
  <c r="I76" i="10"/>
  <c r="K76" i="10"/>
  <c r="H48" i="2"/>
  <c r="I48" i="2"/>
  <c r="K48" i="2"/>
  <c r="H13" i="4"/>
  <c r="I13" i="4"/>
  <c r="K13" i="4"/>
  <c r="I42" i="6"/>
  <c r="K42" i="6"/>
  <c r="H13" i="9"/>
  <c r="K13" i="9"/>
  <c r="I13" i="9"/>
  <c r="H27" i="10"/>
  <c r="I27" i="10"/>
  <c r="K27" i="10"/>
  <c r="H83" i="10"/>
  <c r="K83" i="10"/>
  <c r="I83" i="10"/>
  <c r="H13" i="2"/>
  <c r="K13" i="2"/>
  <c r="I13" i="2"/>
  <c r="K127" i="7"/>
  <c r="I127" i="7"/>
  <c r="H20" i="2"/>
  <c r="K20" i="2"/>
  <c r="I20" i="2"/>
  <c r="I134" i="7"/>
  <c r="K134" i="7"/>
  <c r="H83" i="2"/>
  <c r="K83" i="2"/>
  <c r="I83" i="2"/>
  <c r="H27" i="4"/>
  <c r="K27" i="4"/>
  <c r="I27" i="4"/>
  <c r="K35" i="6"/>
  <c r="I35" i="6"/>
  <c r="K77" i="8"/>
  <c r="I77" i="8"/>
  <c r="H55" i="2"/>
  <c r="K55" i="2"/>
  <c r="I55" i="2"/>
  <c r="I14" i="6"/>
  <c r="K14" i="6"/>
  <c r="H20" i="9"/>
  <c r="I20" i="9"/>
  <c r="K20" i="9"/>
  <c r="H34" i="10"/>
  <c r="I34" i="10"/>
  <c r="K34" i="10"/>
  <c r="H90" i="10"/>
  <c r="I90" i="10"/>
  <c r="K90" i="10"/>
  <c r="H34" i="9"/>
  <c r="K34" i="9"/>
  <c r="I34" i="9"/>
  <c r="H76" i="2"/>
  <c r="I76" i="2"/>
  <c r="K76" i="2"/>
  <c r="H41" i="9"/>
  <c r="K41" i="9"/>
  <c r="I41" i="9"/>
  <c r="H41" i="2"/>
  <c r="K41" i="2"/>
  <c r="I41" i="2"/>
  <c r="H20" i="10"/>
  <c r="I20" i="10"/>
  <c r="K20" i="10"/>
  <c r="H62" i="2"/>
  <c r="K62" i="2"/>
  <c r="I62" i="2"/>
  <c r="H27" i="9"/>
  <c r="K27" i="9"/>
  <c r="I27" i="9"/>
  <c r="H41" i="10"/>
  <c r="K41" i="10"/>
  <c r="I41" i="10"/>
  <c r="H97" i="10"/>
  <c r="K97" i="10"/>
  <c r="I97" i="10"/>
  <c r="I56" i="8"/>
  <c r="K56" i="8"/>
  <c r="I63" i="8"/>
  <c r="K63" i="8"/>
  <c r="K21" i="8"/>
  <c r="I21" i="8"/>
  <c r="I42" i="8"/>
  <c r="K42" i="8"/>
  <c r="I28" i="8"/>
  <c r="K28" i="8"/>
  <c r="I35" i="8"/>
  <c r="K35" i="8"/>
  <c r="K14" i="8"/>
  <c r="I14" i="8"/>
  <c r="I49" i="8"/>
  <c r="K49" i="8"/>
  <c r="H14" i="7"/>
  <c r="I14" i="7"/>
  <c r="K14" i="7"/>
  <c r="H92" i="7"/>
  <c r="K92" i="7"/>
  <c r="H21" i="7"/>
  <c r="I21" i="7"/>
  <c r="K21" i="7"/>
  <c r="H50" i="7"/>
  <c r="K50" i="7"/>
  <c r="I50" i="7"/>
  <c r="H71" i="7"/>
  <c r="I71" i="7"/>
  <c r="K71" i="7"/>
  <c r="H99" i="7"/>
  <c r="K99" i="7"/>
  <c r="H127" i="7"/>
  <c r="H64" i="7"/>
  <c r="K64" i="7"/>
  <c r="I64" i="7"/>
  <c r="H28" i="7"/>
  <c r="I28" i="7"/>
  <c r="K28" i="7"/>
  <c r="H49" i="7"/>
  <c r="I49" i="7"/>
  <c r="K49" i="7"/>
  <c r="H78" i="7"/>
  <c r="K78" i="7"/>
  <c r="I78" i="7"/>
  <c r="H106" i="7"/>
  <c r="K106" i="7"/>
  <c r="H134" i="7"/>
  <c r="H42" i="7"/>
  <c r="I42" i="7"/>
  <c r="K42" i="7"/>
  <c r="H120" i="7"/>
  <c r="K120" i="7"/>
  <c r="H35" i="7"/>
  <c r="K35" i="7"/>
  <c r="I35" i="7"/>
  <c r="H57" i="7"/>
  <c r="I57" i="7"/>
  <c r="K57" i="7"/>
  <c r="H85" i="7"/>
  <c r="I85" i="7"/>
  <c r="K85" i="7"/>
  <c r="H113" i="7"/>
  <c r="K113" i="7"/>
  <c r="H141" i="7"/>
  <c r="K14" i="3"/>
  <c r="I14" i="3"/>
  <c r="H49" i="3"/>
  <c r="I49" i="3"/>
  <c r="K49" i="3"/>
  <c r="H28" i="3"/>
  <c r="I28" i="3"/>
  <c r="K28" i="3"/>
  <c r="H56" i="3"/>
  <c r="I56" i="3"/>
  <c r="K56" i="3"/>
  <c r="H42" i="3"/>
  <c r="K42" i="3"/>
  <c r="I42" i="3"/>
  <c r="H21" i="3"/>
  <c r="K21" i="3"/>
  <c r="I21" i="3"/>
  <c r="H14" i="3"/>
  <c r="H35" i="3"/>
  <c r="I35" i="3"/>
  <c r="K35" i="3"/>
  <c r="H63" i="3"/>
  <c r="K63" i="3"/>
  <c r="I63" i="3"/>
  <c r="H56" i="1"/>
  <c r="K56" i="1"/>
  <c r="I56" i="1"/>
  <c r="H35" i="1"/>
  <c r="I35" i="1"/>
  <c r="K35" i="1"/>
  <c r="H63" i="1"/>
  <c r="K63" i="1"/>
  <c r="I63" i="1"/>
  <c r="H91" i="1"/>
  <c r="K91" i="1"/>
  <c r="I91" i="1"/>
  <c r="H28" i="1"/>
  <c r="I28" i="1"/>
  <c r="K28" i="1"/>
  <c r="H70" i="1"/>
  <c r="K70" i="1"/>
  <c r="I70" i="1"/>
  <c r="H84" i="1"/>
  <c r="K84" i="1"/>
  <c r="I84" i="1"/>
  <c r="H14" i="1"/>
  <c r="I14" i="1"/>
  <c r="K14" i="1"/>
  <c r="H42" i="1"/>
  <c r="I42" i="1"/>
  <c r="K42" i="1"/>
  <c r="H98" i="1"/>
  <c r="K98" i="1"/>
  <c r="I98" i="1"/>
  <c r="H21" i="1"/>
  <c r="I21" i="1"/>
  <c r="K21" i="1"/>
  <c r="H49" i="1"/>
  <c r="K49" i="1"/>
  <c r="I49" i="1"/>
  <c r="H77" i="1"/>
  <c r="K77" i="1"/>
  <c r="I77" i="1"/>
  <c r="H105" i="1"/>
  <c r="K105" i="1"/>
  <c r="I105" i="1"/>
  <c r="H70" i="5"/>
  <c r="K70" i="5"/>
  <c r="I70" i="5"/>
  <c r="H126" i="5"/>
  <c r="I126" i="5"/>
  <c r="K126" i="5"/>
  <c r="H49" i="5"/>
  <c r="I49" i="5"/>
  <c r="K49" i="5"/>
  <c r="H105" i="5"/>
  <c r="K105" i="5"/>
  <c r="I105" i="5"/>
  <c r="H56" i="5"/>
  <c r="K56" i="5"/>
  <c r="I56" i="5"/>
  <c r="H112" i="5"/>
  <c r="K112" i="5"/>
  <c r="I112" i="5"/>
  <c r="H140" i="5"/>
  <c r="K140" i="5"/>
  <c r="I140" i="5"/>
  <c r="H14" i="5"/>
  <c r="K14" i="5"/>
  <c r="I14" i="5"/>
  <c r="H42" i="5"/>
  <c r="K42" i="5"/>
  <c r="I42" i="5"/>
  <c r="H98" i="5"/>
  <c r="K98" i="5"/>
  <c r="I98" i="5"/>
  <c r="H21" i="5"/>
  <c r="I21" i="5"/>
  <c r="K21" i="5"/>
  <c r="H77" i="5"/>
  <c r="I77" i="5"/>
  <c r="K77" i="5"/>
  <c r="H133" i="5"/>
  <c r="I133" i="5"/>
  <c r="K133" i="5"/>
  <c r="H28" i="5"/>
  <c r="K28" i="5"/>
  <c r="I28" i="5"/>
  <c r="H84" i="5"/>
  <c r="K84" i="5"/>
  <c r="I84" i="5"/>
  <c r="I125" i="5"/>
  <c r="K125" i="5"/>
  <c r="H35" i="5"/>
  <c r="I35" i="5"/>
  <c r="K35" i="5"/>
  <c r="H63" i="5"/>
  <c r="I63" i="5"/>
  <c r="K63" i="5"/>
  <c r="H91" i="5"/>
  <c r="I91" i="5"/>
  <c r="K91" i="5"/>
  <c r="H119" i="5"/>
  <c r="I119" i="5"/>
  <c r="K119" i="5"/>
  <c r="H28" i="6"/>
  <c r="H35" i="6"/>
  <c r="H42" i="6"/>
  <c r="H21" i="6"/>
  <c r="H14" i="6"/>
  <c r="H35" i="8"/>
  <c r="H42" i="8"/>
  <c r="H14" i="8"/>
  <c r="H49" i="8"/>
  <c r="H77" i="8"/>
  <c r="H63" i="8"/>
  <c r="H21" i="8"/>
  <c r="H70" i="8"/>
  <c r="H28" i="8"/>
  <c r="H56" i="8"/>
  <c r="H49" i="19"/>
  <c r="I49" i="19"/>
  <c r="K49" i="19"/>
  <c r="H28" i="19"/>
  <c r="K28" i="19"/>
  <c r="I28" i="19"/>
  <c r="H56" i="19"/>
  <c r="K56" i="19"/>
  <c r="I56" i="19"/>
  <c r="H14" i="19"/>
  <c r="K14" i="19"/>
  <c r="I14" i="19"/>
  <c r="H35" i="19"/>
  <c r="I35" i="19"/>
  <c r="K35" i="19"/>
  <c r="H63" i="19"/>
  <c r="I63" i="19"/>
  <c r="K63" i="19"/>
  <c r="H21" i="19"/>
  <c r="I21" i="19"/>
  <c r="K21" i="19"/>
  <c r="H42" i="19"/>
  <c r="K42" i="19"/>
  <c r="I42" i="19"/>
  <c r="D167" i="19"/>
  <c r="J167" i="19" s="1"/>
  <c r="D148" i="19"/>
  <c r="J148" i="19" s="1"/>
  <c r="J149" i="19" s="1"/>
  <c r="D136" i="19"/>
  <c r="J136" i="19" s="1"/>
  <c r="J137" i="19" s="1"/>
  <c r="D230" i="10"/>
  <c r="D205" i="10"/>
  <c r="D187" i="10"/>
  <c r="J187" i="10" s="1"/>
  <c r="J188" i="10" s="1"/>
  <c r="J268" i="10" s="1"/>
  <c r="F12" i="27" s="1"/>
  <c r="D144" i="9"/>
  <c r="D127" i="9"/>
  <c r="J127" i="9" s="1"/>
  <c r="J128" i="9" s="1"/>
  <c r="G124" i="9"/>
  <c r="D117" i="9"/>
  <c r="J117" i="9" s="1"/>
  <c r="J118" i="9" s="1"/>
  <c r="D189" i="8"/>
  <c r="D168" i="8"/>
  <c r="J168" i="8" s="1"/>
  <c r="J169" i="8" s="1"/>
  <c r="D154" i="8"/>
  <c r="J154" i="8" s="1"/>
  <c r="J155" i="8" s="1"/>
  <c r="D289" i="7"/>
  <c r="D259" i="7"/>
  <c r="J259" i="7" s="1"/>
  <c r="J260" i="7" s="1"/>
  <c r="D236" i="7"/>
  <c r="J236" i="7" s="1"/>
  <c r="J237" i="7" s="1"/>
  <c r="J329" i="7" s="1"/>
  <c r="F9" i="27" s="1"/>
  <c r="D133" i="6"/>
  <c r="D117" i="6"/>
  <c r="J117" i="6" s="1"/>
  <c r="J118" i="6" s="1"/>
  <c r="D108" i="6"/>
  <c r="J108" i="6" s="1"/>
  <c r="J109" i="6" s="1"/>
  <c r="J159" i="6" s="1"/>
  <c r="F8" i="27" s="1"/>
  <c r="D258" i="5"/>
  <c r="J258" i="5" s="1"/>
  <c r="J259" i="5" s="1"/>
  <c r="D235" i="5"/>
  <c r="J235" i="5" s="1"/>
  <c r="J236" i="5" s="1"/>
  <c r="D113" i="4"/>
  <c r="J113" i="4" s="1"/>
  <c r="J116" i="4" s="1"/>
  <c r="D99" i="4"/>
  <c r="J99" i="4" s="1"/>
  <c r="J100" i="4" s="1"/>
  <c r="D92" i="4"/>
  <c r="J92" i="4" s="1"/>
  <c r="J93" i="4" s="1"/>
  <c r="D167" i="3"/>
  <c r="J167" i="3" s="1"/>
  <c r="D148" i="3"/>
  <c r="J148" i="3" s="1"/>
  <c r="J149" i="3" s="1"/>
  <c r="D136" i="3"/>
  <c r="J136" i="3" s="1"/>
  <c r="J137" i="3" s="1"/>
  <c r="J196" i="3" s="1"/>
  <c r="F5" i="27" s="1"/>
  <c r="D204" i="2"/>
  <c r="J204" i="2" s="1"/>
  <c r="D182" i="2"/>
  <c r="J182" i="2" s="1"/>
  <c r="J183" i="2" s="1"/>
  <c r="D167" i="2"/>
  <c r="J167" i="2" s="1"/>
  <c r="J168" i="2" s="1"/>
  <c r="D234" i="1"/>
  <c r="J234" i="1" s="1"/>
  <c r="J235" i="1" s="1"/>
  <c r="J137" i="4" l="1"/>
  <c r="F6" i="27" s="1"/>
  <c r="J171" i="9"/>
  <c r="F11" i="27" s="1"/>
  <c r="K124" i="9"/>
  <c r="I124" i="9"/>
  <c r="J210" i="1"/>
  <c r="J211" i="1" s="1"/>
  <c r="D192" i="1"/>
  <c r="G130" i="1"/>
  <c r="D86" i="3" l="1"/>
  <c r="D107" i="2"/>
  <c r="D104" i="2"/>
  <c r="D111" i="2"/>
  <c r="G111" i="2" s="1"/>
  <c r="H111" i="2" s="1"/>
  <c r="G129" i="1"/>
  <c r="G64" i="19"/>
  <c r="G57" i="19"/>
  <c r="G50" i="19"/>
  <c r="G43" i="19"/>
  <c r="G36" i="19"/>
  <c r="G29" i="19"/>
  <c r="G22" i="19"/>
  <c r="G15" i="19"/>
  <c r="G105" i="10"/>
  <c r="G98" i="10"/>
  <c r="G91" i="10"/>
  <c r="G84" i="10"/>
  <c r="G77" i="10"/>
  <c r="G70" i="10"/>
  <c r="G63" i="10"/>
  <c r="G56" i="10"/>
  <c r="G49" i="10"/>
  <c r="G42" i="10"/>
  <c r="G35" i="10"/>
  <c r="G28" i="10"/>
  <c r="G14" i="10"/>
  <c r="G21" i="10"/>
  <c r="G14" i="9"/>
  <c r="G21" i="9"/>
  <c r="G28" i="9"/>
  <c r="G35" i="9"/>
  <c r="G42" i="9"/>
  <c r="G49" i="9"/>
  <c r="G43" i="8"/>
  <c r="G78" i="8"/>
  <c r="G71" i="8"/>
  <c r="G64" i="8"/>
  <c r="G57" i="8"/>
  <c r="G50" i="8"/>
  <c r="G36" i="8"/>
  <c r="G37" i="8"/>
  <c r="G29" i="8"/>
  <c r="G22" i="8"/>
  <c r="G15" i="8"/>
  <c r="G107" i="7"/>
  <c r="I107" i="7" s="1"/>
  <c r="G100" i="7"/>
  <c r="I100" i="7" s="1"/>
  <c r="G72" i="7"/>
  <c r="G22" i="7"/>
  <c r="G29" i="7"/>
  <c r="G27" i="7"/>
  <c r="G36" i="7"/>
  <c r="G43" i="7"/>
  <c r="G51" i="7"/>
  <c r="G58" i="7"/>
  <c r="G65" i="7"/>
  <c r="G79" i="7"/>
  <c r="G93" i="7"/>
  <c r="I93" i="7" s="1"/>
  <c r="G86" i="7"/>
  <c r="G114" i="7"/>
  <c r="I114" i="7" s="1"/>
  <c r="G121" i="7"/>
  <c r="I121" i="7" s="1"/>
  <c r="G128" i="7"/>
  <c r="G135" i="7"/>
  <c r="G142" i="7"/>
  <c r="G15" i="7"/>
  <c r="G43" i="6"/>
  <c r="G36" i="6"/>
  <c r="G29" i="6"/>
  <c r="G22" i="6"/>
  <c r="G15" i="6"/>
  <c r="G100" i="5"/>
  <c r="G113" i="5"/>
  <c r="G106" i="5"/>
  <c r="G99" i="5"/>
  <c r="G92" i="5"/>
  <c r="G85" i="5"/>
  <c r="G78" i="5"/>
  <c r="G71" i="5"/>
  <c r="G64" i="5"/>
  <c r="G57" i="5"/>
  <c r="G50" i="5"/>
  <c r="G43" i="5"/>
  <c r="G36" i="5"/>
  <c r="G29" i="5"/>
  <c r="G22" i="5"/>
  <c r="G15" i="5"/>
  <c r="G120" i="5"/>
  <c r="G127" i="5"/>
  <c r="H134" i="5"/>
  <c r="G141" i="5"/>
  <c r="G14" i="4"/>
  <c r="G21" i="4"/>
  <c r="G28" i="4"/>
  <c r="G64" i="3"/>
  <c r="G57" i="3"/>
  <c r="G50" i="3"/>
  <c r="G43" i="3"/>
  <c r="G36" i="3"/>
  <c r="G29" i="3"/>
  <c r="G22" i="3"/>
  <c r="G15" i="3"/>
  <c r="G84" i="2"/>
  <c r="G77" i="2"/>
  <c r="G70" i="2"/>
  <c r="G63" i="2"/>
  <c r="G56" i="2"/>
  <c r="G49" i="2"/>
  <c r="G42" i="2"/>
  <c r="G35" i="2"/>
  <c r="G28" i="2"/>
  <c r="G21" i="2"/>
  <c r="G14" i="2"/>
  <c r="G166" i="1"/>
  <c r="G148" i="1"/>
  <c r="G110" i="1"/>
  <c r="G106" i="1"/>
  <c r="G99" i="1"/>
  <c r="G92" i="1"/>
  <c r="G85" i="1"/>
  <c r="G78" i="1"/>
  <c r="G71" i="1"/>
  <c r="G64" i="1"/>
  <c r="G57" i="1"/>
  <c r="G50" i="1"/>
  <c r="G43" i="1"/>
  <c r="G36" i="1"/>
  <c r="G29" i="1"/>
  <c r="G22" i="1"/>
  <c r="G15" i="1"/>
  <c r="N12" i="15"/>
  <c r="O12" i="15"/>
  <c r="P12" i="15"/>
  <c r="N13" i="15"/>
  <c r="O13" i="15"/>
  <c r="P13" i="15"/>
  <c r="N14" i="15"/>
  <c r="O14" i="15"/>
  <c r="P14" i="15"/>
  <c r="N15" i="15"/>
  <c r="O15" i="15"/>
  <c r="P15" i="15"/>
  <c r="N16" i="15"/>
  <c r="O16" i="15"/>
  <c r="P16" i="15"/>
  <c r="N17" i="15"/>
  <c r="O17" i="15"/>
  <c r="P17" i="15"/>
  <c r="N18" i="15"/>
  <c r="O18" i="15"/>
  <c r="P18" i="15"/>
  <c r="N19" i="15"/>
  <c r="O19" i="15"/>
  <c r="P19" i="15"/>
  <c r="N20" i="15"/>
  <c r="O20" i="15"/>
  <c r="P20" i="15"/>
  <c r="N21" i="15"/>
  <c r="O21" i="15"/>
  <c r="P21" i="15"/>
  <c r="N22" i="15"/>
  <c r="O22" i="15"/>
  <c r="P22" i="15"/>
  <c r="N23" i="15"/>
  <c r="O23" i="15"/>
  <c r="P23" i="15"/>
  <c r="N24" i="15"/>
  <c r="O24" i="15"/>
  <c r="P24" i="15"/>
  <c r="N25" i="15"/>
  <c r="O25" i="15"/>
  <c r="P25" i="15"/>
  <c r="C108" i="15"/>
  <c r="C115" i="15"/>
  <c r="C130" i="15"/>
  <c r="C139" i="15"/>
  <c r="H42" i="9" l="1"/>
  <c r="I42" i="9"/>
  <c r="K42" i="9"/>
  <c r="H70" i="2"/>
  <c r="I70" i="2"/>
  <c r="K70" i="2"/>
  <c r="H42" i="10"/>
  <c r="I42" i="10"/>
  <c r="K42" i="10"/>
  <c r="H77" i="2"/>
  <c r="K77" i="2"/>
  <c r="I77" i="2"/>
  <c r="K135" i="7"/>
  <c r="I135" i="7"/>
  <c r="H28" i="9"/>
  <c r="K28" i="9"/>
  <c r="I28" i="9"/>
  <c r="H49" i="10"/>
  <c r="K49" i="10"/>
  <c r="I49" i="10"/>
  <c r="H105" i="10"/>
  <c r="I105" i="10"/>
  <c r="K105" i="10"/>
  <c r="H28" i="2"/>
  <c r="K28" i="2"/>
  <c r="I28" i="2"/>
  <c r="H84" i="2"/>
  <c r="K84" i="2"/>
  <c r="I84" i="2"/>
  <c r="K15" i="6"/>
  <c r="I15" i="6"/>
  <c r="I128" i="7"/>
  <c r="K128" i="7"/>
  <c r="H21" i="9"/>
  <c r="K21" i="9"/>
  <c r="I21" i="9"/>
  <c r="H56" i="10"/>
  <c r="K56" i="10"/>
  <c r="I56" i="10"/>
  <c r="H63" i="2"/>
  <c r="I63" i="2"/>
  <c r="K63" i="2"/>
  <c r="H35" i="10"/>
  <c r="K35" i="10"/>
  <c r="I35" i="10"/>
  <c r="H14" i="2"/>
  <c r="I14" i="2"/>
  <c r="K14" i="2"/>
  <c r="H98" i="10"/>
  <c r="K98" i="10"/>
  <c r="I98" i="10"/>
  <c r="H14" i="9"/>
  <c r="I14" i="9"/>
  <c r="K14" i="9"/>
  <c r="H63" i="10"/>
  <c r="K63" i="10"/>
  <c r="I63" i="10"/>
  <c r="H42" i="2"/>
  <c r="I42" i="2"/>
  <c r="K42" i="2"/>
  <c r="H21" i="4"/>
  <c r="K21" i="4"/>
  <c r="I21" i="4"/>
  <c r="I29" i="6"/>
  <c r="K29" i="6"/>
  <c r="I78" i="8"/>
  <c r="K78" i="8"/>
  <c r="H21" i="10"/>
  <c r="K21" i="10"/>
  <c r="I21" i="10"/>
  <c r="H70" i="10"/>
  <c r="K70" i="10"/>
  <c r="I70" i="10"/>
  <c r="K142" i="7"/>
  <c r="I142" i="7"/>
  <c r="H35" i="9"/>
  <c r="K35" i="9"/>
  <c r="I35" i="9"/>
  <c r="H21" i="2"/>
  <c r="K21" i="2"/>
  <c r="I21" i="2"/>
  <c r="H28" i="4"/>
  <c r="I28" i="4"/>
  <c r="K28" i="4"/>
  <c r="H49" i="2"/>
  <c r="K49" i="2"/>
  <c r="I49" i="2"/>
  <c r="H14" i="4"/>
  <c r="K14" i="4"/>
  <c r="I14" i="4"/>
  <c r="I36" i="6"/>
  <c r="K36" i="6"/>
  <c r="H14" i="10"/>
  <c r="I14" i="10"/>
  <c r="K14" i="10"/>
  <c r="H77" i="10"/>
  <c r="K77" i="10"/>
  <c r="I77" i="10"/>
  <c r="H91" i="10"/>
  <c r="I91" i="10"/>
  <c r="K91" i="10"/>
  <c r="H35" i="2"/>
  <c r="I35" i="2"/>
  <c r="K35" i="2"/>
  <c r="K22" i="6"/>
  <c r="I22" i="6"/>
  <c r="I71" i="8"/>
  <c r="K71" i="8"/>
  <c r="H56" i="2"/>
  <c r="K56" i="2"/>
  <c r="I56" i="2"/>
  <c r="K43" i="6"/>
  <c r="I43" i="6"/>
  <c r="K49" i="9"/>
  <c r="I49" i="9"/>
  <c r="H28" i="10"/>
  <c r="K28" i="10"/>
  <c r="I28" i="10"/>
  <c r="H84" i="10"/>
  <c r="K84" i="10"/>
  <c r="I84" i="10"/>
  <c r="K15" i="8"/>
  <c r="I15" i="8"/>
  <c r="I36" i="8"/>
  <c r="K36" i="8"/>
  <c r="K29" i="8"/>
  <c r="I29" i="8"/>
  <c r="K43" i="8"/>
  <c r="I43" i="8"/>
  <c r="I22" i="8"/>
  <c r="K22" i="8"/>
  <c r="I50" i="8"/>
  <c r="K50" i="8"/>
  <c r="K57" i="8"/>
  <c r="I57" i="8"/>
  <c r="K37" i="8"/>
  <c r="I37" i="8"/>
  <c r="I64" i="8"/>
  <c r="K64" i="8"/>
  <c r="H15" i="7"/>
  <c r="K15" i="7"/>
  <c r="I15" i="7"/>
  <c r="H79" i="7"/>
  <c r="K79" i="7"/>
  <c r="I79" i="7"/>
  <c r="H22" i="7"/>
  <c r="K22" i="7"/>
  <c r="I22" i="7"/>
  <c r="H142" i="7"/>
  <c r="H114" i="7"/>
  <c r="K114" i="7"/>
  <c r="H65" i="7"/>
  <c r="K65" i="7"/>
  <c r="I65" i="7"/>
  <c r="H36" i="7"/>
  <c r="I36" i="7"/>
  <c r="K36" i="7"/>
  <c r="H72" i="7"/>
  <c r="I72" i="7"/>
  <c r="K72" i="7"/>
  <c r="H121" i="7"/>
  <c r="K121" i="7"/>
  <c r="H43" i="7"/>
  <c r="K43" i="7"/>
  <c r="I43" i="7"/>
  <c r="H135" i="7"/>
  <c r="H86" i="7"/>
  <c r="I86" i="7"/>
  <c r="K86" i="7"/>
  <c r="H58" i="7"/>
  <c r="K58" i="7"/>
  <c r="I58" i="7"/>
  <c r="K27" i="7"/>
  <c r="I27" i="7"/>
  <c r="H100" i="7"/>
  <c r="K100" i="7"/>
  <c r="H128" i="7"/>
  <c r="H93" i="7"/>
  <c r="K93" i="7"/>
  <c r="H51" i="7"/>
  <c r="K51" i="7"/>
  <c r="I51" i="7"/>
  <c r="H29" i="7"/>
  <c r="I29" i="7"/>
  <c r="K29" i="7"/>
  <c r="H107" i="7"/>
  <c r="K107" i="7"/>
  <c r="H15" i="3"/>
  <c r="K15" i="3"/>
  <c r="I15" i="3"/>
  <c r="H43" i="3"/>
  <c r="I43" i="3"/>
  <c r="K43" i="3"/>
  <c r="H22" i="3"/>
  <c r="K22" i="3"/>
  <c r="I22" i="3"/>
  <c r="H50" i="3"/>
  <c r="K50" i="3"/>
  <c r="I50" i="3"/>
  <c r="H29" i="3"/>
  <c r="K29" i="3"/>
  <c r="I29" i="3"/>
  <c r="H57" i="3"/>
  <c r="I57" i="3"/>
  <c r="K57" i="3"/>
  <c r="H36" i="3"/>
  <c r="I36" i="3"/>
  <c r="K36" i="3"/>
  <c r="H64" i="3"/>
  <c r="K64" i="3"/>
  <c r="I64" i="3"/>
  <c r="H43" i="1"/>
  <c r="K43" i="1"/>
  <c r="I43" i="1"/>
  <c r="H166" i="1"/>
  <c r="K166" i="1"/>
  <c r="I166" i="1"/>
  <c r="H22" i="1"/>
  <c r="K22" i="1"/>
  <c r="I22" i="1"/>
  <c r="H50" i="1"/>
  <c r="I50" i="1"/>
  <c r="K50" i="1"/>
  <c r="H78" i="1"/>
  <c r="K78" i="1"/>
  <c r="I78" i="1"/>
  <c r="H106" i="1"/>
  <c r="K106" i="1"/>
  <c r="I106" i="1"/>
  <c r="H99" i="1"/>
  <c r="K99" i="1"/>
  <c r="I99" i="1"/>
  <c r="H57" i="1"/>
  <c r="I57" i="1"/>
  <c r="K57" i="1"/>
  <c r="H85" i="1"/>
  <c r="K85" i="1"/>
  <c r="I85" i="1"/>
  <c r="K110" i="1"/>
  <c r="I110" i="1"/>
  <c r="H15" i="1"/>
  <c r="K15" i="1"/>
  <c r="I15" i="1"/>
  <c r="H71" i="1"/>
  <c r="K71" i="1"/>
  <c r="I71" i="1"/>
  <c r="H29" i="1"/>
  <c r="K29" i="1"/>
  <c r="I29" i="1"/>
  <c r="H36" i="1"/>
  <c r="K36" i="1"/>
  <c r="I36" i="1"/>
  <c r="H64" i="1"/>
  <c r="K64" i="1"/>
  <c r="I64" i="1"/>
  <c r="H92" i="1"/>
  <c r="K92" i="1"/>
  <c r="I92" i="1"/>
  <c r="I148" i="1"/>
  <c r="K148" i="1"/>
  <c r="H50" i="5"/>
  <c r="K50" i="5"/>
  <c r="I50" i="5"/>
  <c r="H106" i="5"/>
  <c r="I106" i="5"/>
  <c r="K106" i="5"/>
  <c r="H29" i="5"/>
  <c r="I29" i="5"/>
  <c r="K29" i="5"/>
  <c r="H85" i="5"/>
  <c r="I85" i="5"/>
  <c r="K85" i="5"/>
  <c r="H120" i="5"/>
  <c r="I120" i="5"/>
  <c r="K120" i="5"/>
  <c r="H36" i="5"/>
  <c r="K36" i="5"/>
  <c r="I36" i="5"/>
  <c r="H64" i="5"/>
  <c r="K64" i="5"/>
  <c r="I64" i="5"/>
  <c r="H92" i="5"/>
  <c r="K92" i="5"/>
  <c r="I92" i="5"/>
  <c r="H100" i="5"/>
  <c r="I100" i="5"/>
  <c r="K100" i="5"/>
  <c r="H22" i="5"/>
  <c r="K22" i="5"/>
  <c r="I22" i="5"/>
  <c r="H78" i="5"/>
  <c r="K78" i="5"/>
  <c r="I78" i="5"/>
  <c r="H127" i="5"/>
  <c r="K127" i="5"/>
  <c r="I127" i="5"/>
  <c r="H57" i="5"/>
  <c r="I57" i="5"/>
  <c r="K57" i="5"/>
  <c r="H113" i="5"/>
  <c r="K113" i="5"/>
  <c r="I113" i="5"/>
  <c r="H141" i="5"/>
  <c r="K141" i="5"/>
  <c r="I141" i="5"/>
  <c r="H15" i="5"/>
  <c r="K15" i="5"/>
  <c r="I15" i="5"/>
  <c r="H43" i="5"/>
  <c r="I43" i="5"/>
  <c r="K43" i="5"/>
  <c r="H71" i="5"/>
  <c r="I71" i="5"/>
  <c r="K71" i="5"/>
  <c r="H99" i="5"/>
  <c r="I99" i="5"/>
  <c r="K99" i="5"/>
  <c r="H22" i="6"/>
  <c r="H29" i="6"/>
  <c r="H36" i="6"/>
  <c r="H15" i="6"/>
  <c r="H43" i="6"/>
  <c r="H15" i="8"/>
  <c r="H36" i="8"/>
  <c r="H71" i="8"/>
  <c r="H22" i="8"/>
  <c r="H50" i="8"/>
  <c r="H78" i="8"/>
  <c r="H29" i="8"/>
  <c r="H57" i="8"/>
  <c r="H37" i="8"/>
  <c r="H64" i="8"/>
  <c r="H50" i="19"/>
  <c r="I50" i="19"/>
  <c r="K50" i="19"/>
  <c r="H29" i="19"/>
  <c r="I29" i="19"/>
  <c r="K29" i="19"/>
  <c r="H36" i="19"/>
  <c r="I36" i="19"/>
  <c r="K36" i="19"/>
  <c r="H64" i="19"/>
  <c r="I64" i="19"/>
  <c r="K64" i="19"/>
  <c r="H22" i="19"/>
  <c r="K22" i="19"/>
  <c r="I22" i="19"/>
  <c r="H57" i="19"/>
  <c r="K57" i="19"/>
  <c r="I57" i="19"/>
  <c r="H15" i="19"/>
  <c r="I15" i="19"/>
  <c r="K15" i="19"/>
  <c r="H43" i="19"/>
  <c r="K43" i="19"/>
  <c r="I43" i="19"/>
  <c r="H129" i="1"/>
  <c r="G194" i="12"/>
  <c r="H194" i="12" s="1"/>
  <c r="G193" i="12"/>
  <c r="H193" i="12" s="1"/>
  <c r="G192" i="12"/>
  <c r="H192" i="12" s="1"/>
  <c r="G191" i="12"/>
  <c r="H191" i="12" s="1"/>
  <c r="G190" i="12"/>
  <c r="H190" i="12" s="1"/>
  <c r="G189" i="12"/>
  <c r="H189" i="12" s="1"/>
  <c r="G188" i="12"/>
  <c r="H188" i="12" s="1"/>
  <c r="G187" i="12"/>
  <c r="H187" i="12" s="1"/>
  <c r="G186" i="12"/>
  <c r="H186" i="12" s="1"/>
  <c r="G185" i="12"/>
  <c r="H185" i="12" s="1"/>
  <c r="G184" i="12"/>
  <c r="H184" i="12" s="1"/>
  <c r="G183" i="12"/>
  <c r="H183" i="12" s="1"/>
  <c r="G182" i="12"/>
  <c r="H182" i="12" s="1"/>
  <c r="G181" i="12"/>
  <c r="H181" i="12" s="1"/>
  <c r="G180" i="12"/>
  <c r="G176" i="12"/>
  <c r="G175" i="12"/>
  <c r="H175" i="12" s="1"/>
  <c r="G174" i="12"/>
  <c r="G171" i="12"/>
  <c r="H171" i="12" s="1"/>
  <c r="G170" i="12"/>
  <c r="H169" i="12"/>
  <c r="G168" i="12"/>
  <c r="H168" i="12" s="1"/>
  <c r="G167" i="12"/>
  <c r="F166" i="12"/>
  <c r="G166" i="12" s="1"/>
  <c r="G165" i="12"/>
  <c r="H165" i="12" s="1"/>
  <c r="G164" i="12"/>
  <c r="H164" i="12" s="1"/>
  <c r="G163" i="12"/>
  <c r="G162" i="12"/>
  <c r="G161" i="12"/>
  <c r="G160" i="12"/>
  <c r="G137" i="12"/>
  <c r="H137" i="12" s="1"/>
  <c r="G136" i="12"/>
  <c r="H136" i="12" s="1"/>
  <c r="G134" i="12"/>
  <c r="H134" i="12" s="1"/>
  <c r="G130" i="12"/>
  <c r="G147" i="12" s="1"/>
  <c r="G126" i="12"/>
  <c r="H126" i="12" s="1"/>
  <c r="G125" i="12"/>
  <c r="H125" i="12" s="1"/>
  <c r="G124" i="12"/>
  <c r="H124" i="12" s="1"/>
  <c r="G123" i="12"/>
  <c r="G122" i="12"/>
  <c r="H122" i="12" s="1"/>
  <c r="G121" i="12"/>
  <c r="H121" i="12" s="1"/>
  <c r="G120" i="12"/>
  <c r="H120" i="12" s="1"/>
  <c r="G119" i="12"/>
  <c r="H119" i="12" s="1"/>
  <c r="G118" i="12"/>
  <c r="H118" i="12" s="1"/>
  <c r="G116" i="12"/>
  <c r="H116" i="12" s="1"/>
  <c r="G115" i="12"/>
  <c r="H115" i="12" s="1"/>
  <c r="G114" i="12"/>
  <c r="H114" i="12" s="1"/>
  <c r="G113" i="12"/>
  <c r="G109" i="12"/>
  <c r="H109" i="12" s="1"/>
  <c r="G108" i="12"/>
  <c r="H108" i="12" s="1"/>
  <c r="G107" i="12"/>
  <c r="H107" i="12" s="1"/>
  <c r="F106" i="12"/>
  <c r="G106" i="12" s="1"/>
  <c r="H106" i="12" s="1"/>
  <c r="H104" i="12"/>
  <c r="G103" i="12"/>
  <c r="H103" i="12" s="1"/>
  <c r="G101" i="12"/>
  <c r="H101" i="12" s="1"/>
  <c r="G98" i="12"/>
  <c r="G97" i="12"/>
  <c r="G96" i="12"/>
  <c r="G94" i="12"/>
  <c r="G93" i="12"/>
  <c r="G92" i="12"/>
  <c r="G91" i="12"/>
  <c r="G88" i="12"/>
  <c r="H88" i="12" s="1"/>
  <c r="G87" i="12"/>
  <c r="H87" i="12" s="1"/>
  <c r="G86" i="12"/>
  <c r="H86" i="12" s="1"/>
  <c r="G85" i="12"/>
  <c r="H85" i="12" s="1"/>
  <c r="G84" i="12"/>
  <c r="H84" i="12" s="1"/>
  <c r="G83" i="12"/>
  <c r="K83" i="12" s="1"/>
  <c r="G82" i="12"/>
  <c r="G79" i="12"/>
  <c r="G78" i="12"/>
  <c r="G77" i="12"/>
  <c r="G76" i="12"/>
  <c r="G75" i="12"/>
  <c r="G74" i="12"/>
  <c r="G73" i="12"/>
  <c r="G70" i="12"/>
  <c r="H70" i="12" s="1"/>
  <c r="G69" i="12"/>
  <c r="H69" i="12" s="1"/>
  <c r="G68" i="12"/>
  <c r="H68" i="12" s="1"/>
  <c r="G67" i="12"/>
  <c r="G65" i="12"/>
  <c r="H65" i="12" s="1"/>
  <c r="G62" i="12"/>
  <c r="H62" i="12" s="1"/>
  <c r="G61" i="12"/>
  <c r="H61" i="12" s="1"/>
  <c r="G59" i="12"/>
  <c r="H59" i="12" s="1"/>
  <c r="G58" i="12"/>
  <c r="H58" i="12" s="1"/>
  <c r="F55" i="12"/>
  <c r="G55" i="12" s="1"/>
  <c r="F54" i="12"/>
  <c r="G54" i="12" s="1"/>
  <c r="G53" i="12"/>
  <c r="G52" i="12"/>
  <c r="G50" i="12"/>
  <c r="H50" i="12" s="1"/>
  <c r="G49" i="12"/>
  <c r="G48" i="12"/>
  <c r="G47" i="12"/>
  <c r="G44" i="12"/>
  <c r="H44" i="12" s="1"/>
  <c r="G43" i="12"/>
  <c r="H43" i="12" s="1"/>
  <c r="G42" i="12"/>
  <c r="G41" i="12"/>
  <c r="H41" i="12" s="1"/>
  <c r="G35" i="12"/>
  <c r="H35" i="12" s="1"/>
  <c r="G31" i="12"/>
  <c r="H31" i="12" s="1"/>
  <c r="G30" i="12"/>
  <c r="H30" i="12" s="1"/>
  <c r="G29" i="12"/>
  <c r="H29" i="12" s="1"/>
  <c r="F28" i="12"/>
  <c r="G28" i="12" s="1"/>
  <c r="H28" i="12" s="1"/>
  <c r="G25" i="12"/>
  <c r="H25" i="12" s="1"/>
  <c r="G24" i="12"/>
  <c r="H24" i="12" s="1"/>
  <c r="G23" i="12"/>
  <c r="H23" i="12" s="1"/>
  <c r="H14" i="12"/>
  <c r="H13" i="12"/>
  <c r="G12" i="12"/>
  <c r="G11" i="12"/>
  <c r="G10" i="12"/>
  <c r="H96" i="12" l="1"/>
  <c r="I96" i="12"/>
  <c r="K96" i="12"/>
  <c r="H79" i="12"/>
  <c r="K79" i="12"/>
  <c r="I79" i="12"/>
  <c r="H98" i="12"/>
  <c r="I98" i="12"/>
  <c r="K98" i="12"/>
  <c r="H11" i="12"/>
  <c r="K11" i="12"/>
  <c r="I11" i="12"/>
  <c r="I47" i="12"/>
  <c r="K47" i="12"/>
  <c r="H82" i="12"/>
  <c r="K82" i="12"/>
  <c r="I82" i="12"/>
  <c r="H166" i="12"/>
  <c r="K166" i="12"/>
  <c r="K163" i="12"/>
  <c r="I163" i="12"/>
  <c r="K174" i="12"/>
  <c r="K177" i="12" s="1"/>
  <c r="I174" i="12"/>
  <c r="I177" i="12" s="1"/>
  <c r="I10" i="12"/>
  <c r="K10" i="12"/>
  <c r="H12" i="12"/>
  <c r="I12" i="12"/>
  <c r="K12" i="12"/>
  <c r="H48" i="12"/>
  <c r="K48" i="12"/>
  <c r="I48" i="12"/>
  <c r="I73" i="12"/>
  <c r="K73" i="12"/>
  <c r="I91" i="12"/>
  <c r="K91" i="12"/>
  <c r="H49" i="12"/>
  <c r="K49" i="12"/>
  <c r="I49" i="12"/>
  <c r="H74" i="12"/>
  <c r="K74" i="12"/>
  <c r="I74" i="12"/>
  <c r="H92" i="12"/>
  <c r="I92" i="12"/>
  <c r="K92" i="12"/>
  <c r="K160" i="12"/>
  <c r="I160" i="12"/>
  <c r="H53" i="12"/>
  <c r="I53" i="12"/>
  <c r="K53" i="12"/>
  <c r="H77" i="12"/>
  <c r="K77" i="12"/>
  <c r="I77" i="12"/>
  <c r="H78" i="12"/>
  <c r="K78" i="12"/>
  <c r="H167" i="12"/>
  <c r="K167" i="12"/>
  <c r="I161" i="12"/>
  <c r="K161" i="12"/>
  <c r="H54" i="12"/>
  <c r="K54" i="12"/>
  <c r="H97" i="12"/>
  <c r="I97" i="12"/>
  <c r="K97" i="12"/>
  <c r="I55" i="12"/>
  <c r="K55" i="12"/>
  <c r="H75" i="12"/>
  <c r="K75" i="12"/>
  <c r="I75" i="12"/>
  <c r="H93" i="12"/>
  <c r="K93" i="12"/>
  <c r="I93" i="12"/>
  <c r="H52" i="12"/>
  <c r="K52" i="12"/>
  <c r="I52" i="12"/>
  <c r="H76" i="12"/>
  <c r="K76" i="12"/>
  <c r="I76" i="12"/>
  <c r="H94" i="12"/>
  <c r="K94" i="12"/>
  <c r="I94" i="12"/>
  <c r="I162" i="12"/>
  <c r="K162" i="12"/>
  <c r="H83" i="12"/>
  <c r="I83" i="12"/>
  <c r="G172" i="12"/>
  <c r="G177" i="12"/>
  <c r="H123" i="12"/>
  <c r="G127" i="12"/>
  <c r="G195" i="12"/>
  <c r="G110" i="12"/>
  <c r="G56" i="12"/>
  <c r="H163" i="12"/>
  <c r="H160" i="12"/>
  <c r="H162" i="12"/>
  <c r="H170" i="12"/>
  <c r="H176" i="12"/>
  <c r="H180" i="12"/>
  <c r="H195" i="12" s="1"/>
  <c r="H47" i="12"/>
  <c r="H174" i="12"/>
  <c r="H67" i="12"/>
  <c r="H71" i="12" s="1"/>
  <c r="G71" i="12"/>
  <c r="H10" i="12"/>
  <c r="G32" i="12"/>
  <c r="H130" i="12"/>
  <c r="H34" i="12"/>
  <c r="H36" i="12" s="1"/>
  <c r="G36" i="12"/>
  <c r="G45" i="12"/>
  <c r="G89" i="12"/>
  <c r="H113" i="12"/>
  <c r="H55" i="12"/>
  <c r="H73" i="12"/>
  <c r="H161" i="12"/>
  <c r="H42" i="12"/>
  <c r="H45" i="12" s="1"/>
  <c r="H91" i="12"/>
  <c r="H32" i="12" l="1"/>
  <c r="I32" i="12"/>
  <c r="H89" i="12"/>
  <c r="I89" i="12"/>
  <c r="I172" i="12"/>
  <c r="K172" i="12"/>
  <c r="I56" i="12"/>
  <c r="I110" i="12"/>
  <c r="H110" i="12"/>
  <c r="H172" i="12"/>
  <c r="H127" i="12"/>
  <c r="G196" i="12"/>
  <c r="H177" i="12"/>
  <c r="H56" i="12"/>
  <c r="I196" i="12" l="1"/>
  <c r="E14" i="27" s="1"/>
  <c r="H196" i="12"/>
  <c r="C14" i="27"/>
  <c r="D14" i="27" l="1"/>
  <c r="D5" i="12"/>
  <c r="C5" i="12"/>
  <c r="G157" i="5" l="1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294" i="5"/>
  <c r="G290" i="5"/>
  <c r="H290" i="5" s="1"/>
  <c r="G234" i="5"/>
  <c r="G206" i="5"/>
  <c r="G211" i="5"/>
  <c r="H211" i="5" s="1"/>
  <c r="F164" i="5"/>
  <c r="G164" i="5" s="1"/>
  <c r="H164" i="5" s="1"/>
  <c r="G163" i="5"/>
  <c r="H163" i="5" s="1"/>
  <c r="G162" i="5"/>
  <c r="G160" i="5"/>
  <c r="H160" i="5" s="1"/>
  <c r="G165" i="5"/>
  <c r="H165" i="5" s="1"/>
  <c r="G166" i="5"/>
  <c r="H166" i="5" s="1"/>
  <c r="G167" i="5"/>
  <c r="H167" i="5" s="1"/>
  <c r="G168" i="5"/>
  <c r="H168" i="5" s="1"/>
  <c r="G169" i="5"/>
  <c r="H169" i="5" s="1"/>
  <c r="G170" i="5"/>
  <c r="H170" i="5" s="1"/>
  <c r="G171" i="5"/>
  <c r="H171" i="5" s="1"/>
  <c r="G172" i="5"/>
  <c r="H172" i="5" s="1"/>
  <c r="G173" i="5"/>
  <c r="H173" i="5" s="1"/>
  <c r="F314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295" i="7"/>
  <c r="G291" i="7"/>
  <c r="H291" i="7" s="1"/>
  <c r="G235" i="7"/>
  <c r="G207" i="7"/>
  <c r="G212" i="7"/>
  <c r="H212" i="7" s="1"/>
  <c r="G160" i="7"/>
  <c r="G166" i="7"/>
  <c r="H166" i="7" s="1"/>
  <c r="G167" i="7"/>
  <c r="H167" i="7" s="1"/>
  <c r="G168" i="7"/>
  <c r="H168" i="7" s="1"/>
  <c r="G169" i="7"/>
  <c r="H169" i="7" s="1"/>
  <c r="G170" i="7"/>
  <c r="H170" i="7" s="1"/>
  <c r="G171" i="7"/>
  <c r="H171" i="7" s="1"/>
  <c r="G172" i="7"/>
  <c r="H172" i="7" s="1"/>
  <c r="G173" i="7"/>
  <c r="H173" i="7" s="1"/>
  <c r="G174" i="7"/>
  <c r="H174" i="7" s="1"/>
  <c r="G175" i="7"/>
  <c r="H175" i="7" s="1"/>
  <c r="G176" i="7"/>
  <c r="H176" i="7" s="1"/>
  <c r="F165" i="7"/>
  <c r="G165" i="7" s="1"/>
  <c r="H165" i="7" s="1"/>
  <c r="G164" i="7"/>
  <c r="H164" i="7" s="1"/>
  <c r="G163" i="7"/>
  <c r="H163" i="7" s="1"/>
  <c r="G161" i="7"/>
  <c r="H161" i="7" s="1"/>
  <c r="H160" i="7" l="1"/>
  <c r="K160" i="7"/>
  <c r="I160" i="7"/>
  <c r="I157" i="5"/>
  <c r="K157" i="5"/>
  <c r="H207" i="7"/>
  <c r="K207" i="7"/>
  <c r="I207" i="7"/>
  <c r="H235" i="7"/>
  <c r="I235" i="7"/>
  <c r="K235" i="7"/>
  <c r="H206" i="5"/>
  <c r="I206" i="5"/>
  <c r="K206" i="5"/>
  <c r="H234" i="5"/>
  <c r="I234" i="5"/>
  <c r="K234" i="5"/>
  <c r="H162" i="5"/>
  <c r="H157" i="5"/>
  <c r="G161" i="5"/>
  <c r="H161" i="5" s="1"/>
  <c r="G162" i="7"/>
  <c r="H162" i="7" s="1"/>
  <c r="F196" i="8" l="1"/>
  <c r="F197" i="8"/>
  <c r="F198" i="8"/>
  <c r="F199" i="8"/>
  <c r="F200" i="8"/>
  <c r="F201" i="8"/>
  <c r="F202" i="8"/>
  <c r="F203" i="8"/>
  <c r="F204" i="8"/>
  <c r="F195" i="8"/>
  <c r="G191" i="8"/>
  <c r="H191" i="8" s="1"/>
  <c r="G153" i="8"/>
  <c r="G134" i="8"/>
  <c r="G139" i="8"/>
  <c r="H139" i="8" s="1"/>
  <c r="D89" i="8"/>
  <c r="J89" i="8" s="1"/>
  <c r="J91" i="8" s="1"/>
  <c r="J220" i="8" s="1"/>
  <c r="F10" i="27" s="1"/>
  <c r="G102" i="8"/>
  <c r="H102" i="8" s="1"/>
  <c r="G103" i="8"/>
  <c r="H103" i="8" s="1"/>
  <c r="F101" i="8"/>
  <c r="G101" i="8" s="1"/>
  <c r="H101" i="8" s="1"/>
  <c r="G100" i="8"/>
  <c r="H100" i="8" s="1"/>
  <c r="G99" i="8"/>
  <c r="H99" i="8" s="1"/>
  <c r="G97" i="8"/>
  <c r="H97" i="8" s="1"/>
  <c r="G96" i="8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F174" i="19"/>
  <c r="F175" i="19"/>
  <c r="F176" i="19"/>
  <c r="F177" i="19"/>
  <c r="F178" i="19"/>
  <c r="F179" i="19"/>
  <c r="F180" i="19"/>
  <c r="F173" i="19"/>
  <c r="G169" i="19"/>
  <c r="H169" i="19" s="1"/>
  <c r="G135" i="19"/>
  <c r="G122" i="19"/>
  <c r="G118" i="19"/>
  <c r="F87" i="19"/>
  <c r="G87" i="19" s="1"/>
  <c r="H87" i="19" s="1"/>
  <c r="G86" i="19"/>
  <c r="H86" i="19" s="1"/>
  <c r="G85" i="19"/>
  <c r="H85" i="19" s="1"/>
  <c r="G83" i="19"/>
  <c r="H83" i="19" s="1"/>
  <c r="G88" i="19"/>
  <c r="H88" i="19" s="1"/>
  <c r="H89" i="19"/>
  <c r="G90" i="19"/>
  <c r="H90" i="19" s="1"/>
  <c r="G91" i="19"/>
  <c r="H91" i="19" s="1"/>
  <c r="G92" i="19"/>
  <c r="H92" i="19" s="1"/>
  <c r="G93" i="19"/>
  <c r="H93" i="19" s="1"/>
  <c r="G94" i="19"/>
  <c r="H94" i="19" s="1"/>
  <c r="G95" i="19"/>
  <c r="H95" i="19" s="1"/>
  <c r="G96" i="19"/>
  <c r="H96" i="19" s="1"/>
  <c r="G97" i="19"/>
  <c r="H97" i="19" s="1"/>
  <c r="G98" i="19"/>
  <c r="H98" i="19" s="1"/>
  <c r="F248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35" i="10"/>
  <c r="G186" i="10"/>
  <c r="G164" i="10"/>
  <c r="G123" i="10"/>
  <c r="H123" i="10" s="1"/>
  <c r="G129" i="10"/>
  <c r="H129" i="10" s="1"/>
  <c r="G130" i="10"/>
  <c r="H130" i="10" s="1"/>
  <c r="G131" i="10"/>
  <c r="H131" i="10" s="1"/>
  <c r="G132" i="10"/>
  <c r="H132" i="10" s="1"/>
  <c r="G133" i="10"/>
  <c r="H133" i="10" s="1"/>
  <c r="G134" i="10"/>
  <c r="H134" i="10" s="1"/>
  <c r="G135" i="10"/>
  <c r="H135" i="10" s="1"/>
  <c r="G136" i="10"/>
  <c r="H136" i="10" s="1"/>
  <c r="G137" i="10"/>
  <c r="H137" i="10" s="1"/>
  <c r="G138" i="10"/>
  <c r="H138" i="10" s="1"/>
  <c r="G139" i="10"/>
  <c r="H139" i="10" s="1"/>
  <c r="F128" i="10"/>
  <c r="G128" i="10" s="1"/>
  <c r="H128" i="10" s="1"/>
  <c r="G127" i="10"/>
  <c r="H127" i="10" s="1"/>
  <c r="G126" i="10"/>
  <c r="H126" i="10" s="1"/>
  <c r="D124" i="10"/>
  <c r="G124" i="10" s="1"/>
  <c r="H124" i="10" s="1"/>
  <c r="K134" i="8" l="1"/>
  <c r="I134" i="8"/>
  <c r="I153" i="8"/>
  <c r="K153" i="8"/>
  <c r="H96" i="8"/>
  <c r="I96" i="8"/>
  <c r="K96" i="8"/>
  <c r="H186" i="10"/>
  <c r="K186" i="10"/>
  <c r="I186" i="10"/>
  <c r="H164" i="10"/>
  <c r="K164" i="10"/>
  <c r="I164" i="10"/>
  <c r="H153" i="8"/>
  <c r="H134" i="8"/>
  <c r="H122" i="19"/>
  <c r="H135" i="19"/>
  <c r="I135" i="19"/>
  <c r="K135" i="19"/>
  <c r="H118" i="19"/>
  <c r="J118" i="19" s="1"/>
  <c r="J124" i="19" s="1"/>
  <c r="I118" i="19"/>
  <c r="K118" i="19"/>
  <c r="G98" i="8"/>
  <c r="H98" i="8" s="1"/>
  <c r="G84" i="19"/>
  <c r="H84" i="19" s="1"/>
  <c r="G80" i="19"/>
  <c r="G125" i="10"/>
  <c r="H125" i="10" s="1"/>
  <c r="H80" i="19" l="1"/>
  <c r="I80" i="19"/>
  <c r="K80" i="19"/>
  <c r="G74" i="10"/>
  <c r="G75" i="10"/>
  <c r="G78" i="10"/>
  <c r="G67" i="10"/>
  <c r="G68" i="10"/>
  <c r="G71" i="10"/>
  <c r="G60" i="10"/>
  <c r="G61" i="10"/>
  <c r="G64" i="10"/>
  <c r="G39" i="10"/>
  <c r="G40" i="10"/>
  <c r="G43" i="10"/>
  <c r="G32" i="10"/>
  <c r="G33" i="10"/>
  <c r="G36" i="10"/>
  <c r="G25" i="10"/>
  <c r="G26" i="10"/>
  <c r="G29" i="10"/>
  <c r="G18" i="10"/>
  <c r="G19" i="10"/>
  <c r="G22" i="10"/>
  <c r="G11" i="10"/>
  <c r="G12" i="10"/>
  <c r="G15" i="10"/>
  <c r="F151" i="9"/>
  <c r="F152" i="9"/>
  <c r="F153" i="9"/>
  <c r="F154" i="9"/>
  <c r="F155" i="9"/>
  <c r="F150" i="9"/>
  <c r="G146" i="9"/>
  <c r="H146" i="9" s="1"/>
  <c r="G116" i="9"/>
  <c r="G106" i="9"/>
  <c r="H106" i="9" s="1"/>
  <c r="G101" i="9"/>
  <c r="F72" i="9"/>
  <c r="G72" i="9" s="1"/>
  <c r="H72" i="9" s="1"/>
  <c r="G71" i="9"/>
  <c r="H71" i="9" s="1"/>
  <c r="G70" i="9"/>
  <c r="H70" i="9" s="1"/>
  <c r="G68" i="9"/>
  <c r="H68" i="9" s="1"/>
  <c r="G67" i="9"/>
  <c r="G73" i="9"/>
  <c r="H73" i="9" s="1"/>
  <c r="G74" i="9"/>
  <c r="H74" i="9" s="1"/>
  <c r="G75" i="9"/>
  <c r="H75" i="9" s="1"/>
  <c r="G76" i="9"/>
  <c r="H76" i="9" s="1"/>
  <c r="G77" i="9"/>
  <c r="H77" i="9" s="1"/>
  <c r="G78" i="9"/>
  <c r="H78" i="9" s="1"/>
  <c r="G79" i="9"/>
  <c r="H79" i="9" s="1"/>
  <c r="G80" i="9"/>
  <c r="H80" i="9" s="1"/>
  <c r="G81" i="9"/>
  <c r="H81" i="9" s="1"/>
  <c r="H19" i="10" l="1"/>
  <c r="K19" i="10"/>
  <c r="I19" i="10"/>
  <c r="H43" i="10"/>
  <c r="K43" i="10"/>
  <c r="I43" i="10"/>
  <c r="H78" i="10"/>
  <c r="K78" i="10"/>
  <c r="I78" i="10"/>
  <c r="H29" i="10"/>
  <c r="I29" i="10"/>
  <c r="K29" i="10"/>
  <c r="H75" i="10"/>
  <c r="K75" i="10"/>
  <c r="I75" i="10"/>
  <c r="H26" i="10"/>
  <c r="K26" i="10"/>
  <c r="I26" i="10"/>
  <c r="H64" i="10"/>
  <c r="I64" i="10"/>
  <c r="K64" i="10"/>
  <c r="H74" i="10"/>
  <c r="K74" i="10"/>
  <c r="I74" i="10"/>
  <c r="H101" i="9"/>
  <c r="K101" i="9"/>
  <c r="I101" i="9"/>
  <c r="H39" i="10"/>
  <c r="I39" i="10"/>
  <c r="K39" i="10"/>
  <c r="H116" i="9"/>
  <c r="K116" i="9"/>
  <c r="I116" i="9"/>
  <c r="H25" i="10"/>
  <c r="K25" i="10"/>
  <c r="I25" i="10"/>
  <c r="H12" i="10"/>
  <c r="K12" i="10"/>
  <c r="I12" i="10"/>
  <c r="H60" i="10"/>
  <c r="K60" i="10"/>
  <c r="I60" i="10"/>
  <c r="H67" i="10"/>
  <c r="K67" i="10"/>
  <c r="I67" i="10"/>
  <c r="H40" i="10"/>
  <c r="K40" i="10"/>
  <c r="I40" i="10"/>
  <c r="H61" i="10"/>
  <c r="I61" i="10"/>
  <c r="K61" i="10"/>
  <c r="H67" i="9"/>
  <c r="K67" i="9"/>
  <c r="I67" i="9"/>
  <c r="H36" i="10"/>
  <c r="K36" i="10"/>
  <c r="I36" i="10"/>
  <c r="H11" i="10"/>
  <c r="I11" i="10"/>
  <c r="K11" i="10"/>
  <c r="H33" i="10"/>
  <c r="I33" i="10"/>
  <c r="K33" i="10"/>
  <c r="H71" i="10"/>
  <c r="K71" i="10"/>
  <c r="I71" i="10"/>
  <c r="H18" i="10"/>
  <c r="I18" i="10"/>
  <c r="K18" i="10"/>
  <c r="H15" i="10"/>
  <c r="K15" i="10"/>
  <c r="I15" i="10"/>
  <c r="H22" i="10"/>
  <c r="K22" i="10"/>
  <c r="I22" i="10"/>
  <c r="H32" i="10"/>
  <c r="K32" i="10"/>
  <c r="I32" i="10"/>
  <c r="H68" i="10"/>
  <c r="K68" i="10"/>
  <c r="I68" i="10"/>
  <c r="G69" i="9"/>
  <c r="H69" i="9" s="1"/>
  <c r="F140" i="6" l="1"/>
  <c r="F141" i="6"/>
  <c r="F142" i="6"/>
  <c r="F143" i="6"/>
  <c r="F139" i="6"/>
  <c r="G135" i="6"/>
  <c r="H135" i="6" s="1"/>
  <c r="G107" i="6"/>
  <c r="G93" i="6"/>
  <c r="G98" i="6"/>
  <c r="H98" i="6" s="1"/>
  <c r="F65" i="6"/>
  <c r="G65" i="6" s="1"/>
  <c r="G64" i="6"/>
  <c r="H64" i="6" s="1"/>
  <c r="D62" i="6"/>
  <c r="G61" i="6"/>
  <c r="H61" i="6" s="1"/>
  <c r="G72" i="6"/>
  <c r="H72" i="6" s="1"/>
  <c r="G73" i="6"/>
  <c r="G60" i="6"/>
  <c r="G66" i="6"/>
  <c r="H66" i="6" s="1"/>
  <c r="G67" i="6"/>
  <c r="G68" i="6"/>
  <c r="G69" i="6"/>
  <c r="G70" i="6"/>
  <c r="G71" i="6"/>
  <c r="G74" i="6"/>
  <c r="H74" i="6" s="1"/>
  <c r="H70" i="6" l="1"/>
  <c r="I70" i="6"/>
  <c r="H73" i="6"/>
  <c r="I73" i="6"/>
  <c r="H68" i="6"/>
  <c r="I68" i="6"/>
  <c r="H71" i="6"/>
  <c r="I71" i="6"/>
  <c r="H67" i="6"/>
  <c r="I67" i="6"/>
  <c r="H65" i="6"/>
  <c r="I65" i="6"/>
  <c r="H60" i="6"/>
  <c r="I60" i="6"/>
  <c r="K60" i="6"/>
  <c r="H69" i="6"/>
  <c r="I69" i="6"/>
  <c r="H93" i="6"/>
  <c r="I93" i="6"/>
  <c r="K93" i="6"/>
  <c r="H107" i="6"/>
  <c r="K107" i="6"/>
  <c r="I107" i="6"/>
  <c r="D63" i="6"/>
  <c r="G62" i="6"/>
  <c r="H62" i="6" l="1"/>
  <c r="I62" i="6"/>
  <c r="K62" i="6"/>
  <c r="G63" i="6"/>
  <c r="H63" i="6" s="1"/>
  <c r="F120" i="4"/>
  <c r="F121" i="4"/>
  <c r="F119" i="4"/>
  <c r="G115" i="4"/>
  <c r="H115" i="4" s="1"/>
  <c r="G91" i="4"/>
  <c r="G84" i="4"/>
  <c r="H84" i="4" s="1"/>
  <c r="G79" i="4"/>
  <c r="G52" i="4"/>
  <c r="H52" i="4" s="1"/>
  <c r="G54" i="4"/>
  <c r="H54" i="4" s="1"/>
  <c r="G50" i="4"/>
  <c r="H50" i="4" s="1"/>
  <c r="G49" i="4"/>
  <c r="H49" i="4" s="1"/>
  <c r="G47" i="4"/>
  <c r="H47" i="4" s="1"/>
  <c r="G53" i="4"/>
  <c r="G55" i="4"/>
  <c r="H55" i="4" s="1"/>
  <c r="G51" i="4"/>
  <c r="H51" i="4" s="1"/>
  <c r="G48" i="4"/>
  <c r="H48" i="4" s="1"/>
  <c r="H101" i="3"/>
  <c r="H102" i="3"/>
  <c r="G99" i="3"/>
  <c r="G88" i="3"/>
  <c r="G90" i="3"/>
  <c r="G92" i="3"/>
  <c r="G93" i="3"/>
  <c r="G94" i="3"/>
  <c r="H94" i="3" s="1"/>
  <c r="G95" i="3"/>
  <c r="G96" i="3"/>
  <c r="G97" i="3"/>
  <c r="G98" i="3"/>
  <c r="D91" i="3"/>
  <c r="F87" i="3"/>
  <c r="G87" i="3" s="1"/>
  <c r="H87" i="3" s="1"/>
  <c r="G86" i="3"/>
  <c r="G83" i="3"/>
  <c r="G124" i="3"/>
  <c r="H124" i="3" s="1"/>
  <c r="G135" i="3"/>
  <c r="G169" i="3"/>
  <c r="G120" i="3"/>
  <c r="F174" i="3"/>
  <c r="F175" i="3"/>
  <c r="F176" i="3"/>
  <c r="F177" i="3"/>
  <c r="F178" i="3"/>
  <c r="F179" i="3"/>
  <c r="F180" i="3"/>
  <c r="F173" i="3"/>
  <c r="D206" i="2"/>
  <c r="G206" i="2" s="1"/>
  <c r="H206" i="2" s="1"/>
  <c r="G207" i="2"/>
  <c r="G208" i="2"/>
  <c r="H208" i="2" s="1"/>
  <c r="G144" i="2"/>
  <c r="G151" i="2"/>
  <c r="D150" i="2"/>
  <c r="G150" i="2" s="1"/>
  <c r="H150" i="2" s="1"/>
  <c r="G166" i="2"/>
  <c r="F222" i="2"/>
  <c r="F221" i="2"/>
  <c r="F220" i="2"/>
  <c r="F219" i="2"/>
  <c r="F218" i="2"/>
  <c r="F217" i="2"/>
  <c r="F216" i="2"/>
  <c r="F215" i="2"/>
  <c r="F214" i="2"/>
  <c r="F213" i="2"/>
  <c r="F212" i="2"/>
  <c r="F148" i="2"/>
  <c r="G112" i="2"/>
  <c r="H112" i="2" s="1"/>
  <c r="F108" i="2"/>
  <c r="G108" i="2" s="1"/>
  <c r="H108" i="2" s="1"/>
  <c r="G107" i="2"/>
  <c r="H107" i="2" s="1"/>
  <c r="G106" i="2"/>
  <c r="H106" i="2" s="1"/>
  <c r="G104" i="2"/>
  <c r="H104" i="2" s="1"/>
  <c r="G103" i="2"/>
  <c r="G105" i="2"/>
  <c r="H105" i="2" s="1"/>
  <c r="G113" i="2"/>
  <c r="H113" i="2" s="1"/>
  <c r="G114" i="2"/>
  <c r="H114" i="2" s="1"/>
  <c r="G115" i="2"/>
  <c r="H115" i="2" s="1"/>
  <c r="G116" i="2"/>
  <c r="H116" i="2" s="1"/>
  <c r="G118" i="2"/>
  <c r="H118" i="2" s="1"/>
  <c r="G120" i="2"/>
  <c r="H120" i="2" s="1"/>
  <c r="H130" i="1"/>
  <c r="D133" i="1"/>
  <c r="G133" i="1" s="1"/>
  <c r="H133" i="1" s="1"/>
  <c r="G123" i="1"/>
  <c r="H123" i="1" s="1"/>
  <c r="G131" i="1"/>
  <c r="H131" i="1" s="1"/>
  <c r="G132" i="1"/>
  <c r="H132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27" i="1"/>
  <c r="H127" i="1" s="1"/>
  <c r="G126" i="1"/>
  <c r="G125" i="1"/>
  <c r="H125" i="1" s="1"/>
  <c r="G124" i="1"/>
  <c r="H124" i="1" s="1"/>
  <c r="G122" i="1"/>
  <c r="G117" i="2"/>
  <c r="H117" i="2" s="1"/>
  <c r="G119" i="2"/>
  <c r="H119" i="2" s="1"/>
  <c r="G121" i="2"/>
  <c r="H121" i="2" s="1"/>
  <c r="G191" i="1"/>
  <c r="G173" i="1"/>
  <c r="H173" i="1" s="1"/>
  <c r="G169" i="1"/>
  <c r="G236" i="1"/>
  <c r="H236" i="1" s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AJ140" i="15"/>
  <c r="AI140" i="15"/>
  <c r="AH140" i="15"/>
  <c r="AG140" i="15"/>
  <c r="AF139" i="15"/>
  <c r="AE139" i="15"/>
  <c r="AA139" i="15"/>
  <c r="Y139" i="15"/>
  <c r="X139" i="15"/>
  <c r="W139" i="15"/>
  <c r="V139" i="15"/>
  <c r="U139" i="15"/>
  <c r="Q139" i="15"/>
  <c r="AD138" i="15"/>
  <c r="AC138" i="15"/>
  <c r="AB138" i="15"/>
  <c r="P138" i="15"/>
  <c r="O138" i="15"/>
  <c r="N138" i="15"/>
  <c r="R138" i="15" s="1"/>
  <c r="S138" i="15" s="1"/>
  <c r="T138" i="15" s="1"/>
  <c r="G138" i="15"/>
  <c r="J138" i="15" s="1"/>
  <c r="AD137" i="15"/>
  <c r="AC137" i="15"/>
  <c r="AB137" i="15"/>
  <c r="P137" i="15"/>
  <c r="O137" i="15"/>
  <c r="N137" i="15"/>
  <c r="R137" i="15" s="1"/>
  <c r="S137" i="15" s="1"/>
  <c r="T137" i="15" s="1"/>
  <c r="AD136" i="15"/>
  <c r="AC136" i="15"/>
  <c r="AB136" i="15"/>
  <c r="P136" i="15"/>
  <c r="O136" i="15"/>
  <c r="N136" i="15"/>
  <c r="R136" i="15" s="1"/>
  <c r="S136" i="15" s="1"/>
  <c r="T136" i="15" s="1"/>
  <c r="G136" i="15"/>
  <c r="J136" i="15" s="1"/>
  <c r="AD135" i="15"/>
  <c r="AC135" i="15"/>
  <c r="AB135" i="15"/>
  <c r="P135" i="15"/>
  <c r="O135" i="15"/>
  <c r="N135" i="15"/>
  <c r="R135" i="15" s="1"/>
  <c r="S135" i="15" s="1"/>
  <c r="T135" i="15" s="1"/>
  <c r="AD134" i="15"/>
  <c r="AC134" i="15"/>
  <c r="AB134" i="15"/>
  <c r="P134" i="15"/>
  <c r="O134" i="15"/>
  <c r="N134" i="15"/>
  <c r="R134" i="15" s="1"/>
  <c r="S134" i="15" s="1"/>
  <c r="T134" i="15" s="1"/>
  <c r="G134" i="15"/>
  <c r="J134" i="15" s="1"/>
  <c r="AD133" i="15"/>
  <c r="AC133" i="15"/>
  <c r="AB133" i="15"/>
  <c r="P133" i="15"/>
  <c r="O133" i="15"/>
  <c r="N133" i="15"/>
  <c r="R133" i="15" s="1"/>
  <c r="S133" i="15" s="1"/>
  <c r="T133" i="15" s="1"/>
  <c r="AD132" i="15"/>
  <c r="AC132" i="15"/>
  <c r="AB132" i="15"/>
  <c r="P132" i="15"/>
  <c r="O132" i="15"/>
  <c r="N132" i="15"/>
  <c r="R132" i="15" s="1"/>
  <c r="S132" i="15" s="1"/>
  <c r="T132" i="15" s="1"/>
  <c r="G132" i="15"/>
  <c r="J132" i="15" s="1"/>
  <c r="AD131" i="15"/>
  <c r="AC131" i="15"/>
  <c r="AB131" i="15"/>
  <c r="P131" i="15"/>
  <c r="P139" i="15" s="1"/>
  <c r="O131" i="15"/>
  <c r="O139" i="15" s="1"/>
  <c r="N131" i="15"/>
  <c r="R131" i="15" s="1"/>
  <c r="S131" i="15" s="1"/>
  <c r="AF130" i="15"/>
  <c r="AE130" i="15"/>
  <c r="AA130" i="15"/>
  <c r="Y130" i="15"/>
  <c r="X130" i="15"/>
  <c r="W130" i="15"/>
  <c r="V130" i="15"/>
  <c r="U130" i="15"/>
  <c r="Q130" i="15"/>
  <c r="AD129" i="15"/>
  <c r="AC129" i="15"/>
  <c r="AB129" i="15"/>
  <c r="P129" i="15"/>
  <c r="O129" i="15"/>
  <c r="N129" i="15"/>
  <c r="R129" i="15" s="1"/>
  <c r="S129" i="15" s="1"/>
  <c r="T129" i="15" s="1"/>
  <c r="H129" i="15"/>
  <c r="K129" i="15" s="1"/>
  <c r="AD128" i="15"/>
  <c r="AC128" i="15"/>
  <c r="AB128" i="15"/>
  <c r="P128" i="15"/>
  <c r="O128" i="15"/>
  <c r="N128" i="15"/>
  <c r="R128" i="15" s="1"/>
  <c r="S128" i="15" s="1"/>
  <c r="T128" i="15" s="1"/>
  <c r="I128" i="15"/>
  <c r="L128" i="15" s="1"/>
  <c r="AD127" i="15"/>
  <c r="AC127" i="15"/>
  <c r="AB127" i="15"/>
  <c r="P127" i="15"/>
  <c r="O127" i="15"/>
  <c r="N127" i="15"/>
  <c r="R127" i="15" s="1"/>
  <c r="S127" i="15" s="1"/>
  <c r="T127" i="15" s="1"/>
  <c r="H127" i="15"/>
  <c r="K127" i="15" s="1"/>
  <c r="AD126" i="15"/>
  <c r="AC126" i="15"/>
  <c r="AB126" i="15"/>
  <c r="P126" i="15"/>
  <c r="O126" i="15"/>
  <c r="N126" i="15"/>
  <c r="R126" i="15" s="1"/>
  <c r="S126" i="15" s="1"/>
  <c r="T126" i="15" s="1"/>
  <c r="I126" i="15"/>
  <c r="L126" i="15" s="1"/>
  <c r="AD125" i="15"/>
  <c r="AC125" i="15"/>
  <c r="AB125" i="15"/>
  <c r="P125" i="15"/>
  <c r="O125" i="15"/>
  <c r="N125" i="15"/>
  <c r="R125" i="15" s="1"/>
  <c r="S125" i="15" s="1"/>
  <c r="T125" i="15" s="1"/>
  <c r="H125" i="15"/>
  <c r="K125" i="15" s="1"/>
  <c r="AD124" i="15"/>
  <c r="AC124" i="15"/>
  <c r="AB124" i="15"/>
  <c r="P124" i="15"/>
  <c r="O124" i="15"/>
  <c r="N124" i="15"/>
  <c r="R124" i="15" s="1"/>
  <c r="S124" i="15" s="1"/>
  <c r="T124" i="15" s="1"/>
  <c r="G124" i="15"/>
  <c r="J124" i="15" s="1"/>
  <c r="AD123" i="15"/>
  <c r="AC123" i="15"/>
  <c r="AB123" i="15"/>
  <c r="P123" i="15"/>
  <c r="O123" i="15"/>
  <c r="N123" i="15"/>
  <c r="R123" i="15" s="1"/>
  <c r="S123" i="15" s="1"/>
  <c r="T123" i="15" s="1"/>
  <c r="H123" i="15"/>
  <c r="K123" i="15" s="1"/>
  <c r="AD122" i="15"/>
  <c r="AC122" i="15"/>
  <c r="AB122" i="15"/>
  <c r="P122" i="15"/>
  <c r="O122" i="15"/>
  <c r="N122" i="15"/>
  <c r="R122" i="15" s="1"/>
  <c r="S122" i="15" s="1"/>
  <c r="T122" i="15" s="1"/>
  <c r="H122" i="15"/>
  <c r="K122" i="15" s="1"/>
  <c r="AD121" i="15"/>
  <c r="AC121" i="15"/>
  <c r="AB121" i="15"/>
  <c r="P121" i="15"/>
  <c r="O121" i="15"/>
  <c r="N121" i="15"/>
  <c r="R121" i="15" s="1"/>
  <c r="S121" i="15" s="1"/>
  <c r="T121" i="15" s="1"/>
  <c r="H121" i="15"/>
  <c r="K121" i="15" s="1"/>
  <c r="AD120" i="15"/>
  <c r="AC120" i="15"/>
  <c r="AB120" i="15"/>
  <c r="P120" i="15"/>
  <c r="O120" i="15"/>
  <c r="N120" i="15"/>
  <c r="R120" i="15" s="1"/>
  <c r="S120" i="15" s="1"/>
  <c r="T120" i="15" s="1"/>
  <c r="H120" i="15"/>
  <c r="K120" i="15" s="1"/>
  <c r="AD119" i="15"/>
  <c r="AC119" i="15"/>
  <c r="AB119" i="15"/>
  <c r="P119" i="15"/>
  <c r="O119" i="15"/>
  <c r="N119" i="15"/>
  <c r="R119" i="15" s="1"/>
  <c r="S119" i="15" s="1"/>
  <c r="T119" i="15" s="1"/>
  <c r="H119" i="15"/>
  <c r="K119" i="15" s="1"/>
  <c r="AD118" i="15"/>
  <c r="AC118" i="15"/>
  <c r="AB118" i="15"/>
  <c r="P118" i="15"/>
  <c r="O118" i="15"/>
  <c r="N118" i="15"/>
  <c r="R118" i="15" s="1"/>
  <c r="S118" i="15" s="1"/>
  <c r="T118" i="15" s="1"/>
  <c r="H118" i="15"/>
  <c r="K118" i="15" s="1"/>
  <c r="AD117" i="15"/>
  <c r="AC117" i="15"/>
  <c r="AB117" i="15"/>
  <c r="P117" i="15"/>
  <c r="O117" i="15"/>
  <c r="N117" i="15"/>
  <c r="R117" i="15" s="1"/>
  <c r="S117" i="15" s="1"/>
  <c r="T117" i="15" s="1"/>
  <c r="H117" i="15"/>
  <c r="K117" i="15" s="1"/>
  <c r="AD116" i="15"/>
  <c r="AC116" i="15"/>
  <c r="AB116" i="15"/>
  <c r="P116" i="15"/>
  <c r="P130" i="15" s="1"/>
  <c r="O116" i="15"/>
  <c r="O130" i="15" s="1"/>
  <c r="N116" i="15"/>
  <c r="N130" i="15" s="1"/>
  <c r="AF115" i="15"/>
  <c r="AE115" i="15"/>
  <c r="AA115" i="15"/>
  <c r="Y115" i="15"/>
  <c r="X115" i="15"/>
  <c r="W115" i="15"/>
  <c r="V115" i="15"/>
  <c r="U115" i="15"/>
  <c r="Q115" i="15"/>
  <c r="AD114" i="15"/>
  <c r="AC114" i="15"/>
  <c r="AB114" i="15"/>
  <c r="P114" i="15"/>
  <c r="O114" i="15"/>
  <c r="N114" i="15"/>
  <c r="R114" i="15" s="1"/>
  <c r="S114" i="15" s="1"/>
  <c r="T114" i="15" s="1"/>
  <c r="G114" i="15"/>
  <c r="J114" i="15" s="1"/>
  <c r="AD113" i="15"/>
  <c r="AC113" i="15"/>
  <c r="AB113" i="15"/>
  <c r="P113" i="15"/>
  <c r="O113" i="15"/>
  <c r="N113" i="15"/>
  <c r="R113" i="15" s="1"/>
  <c r="S113" i="15" s="1"/>
  <c r="T113" i="15" s="1"/>
  <c r="I113" i="15"/>
  <c r="L113" i="15" s="1"/>
  <c r="AD112" i="15"/>
  <c r="AC112" i="15"/>
  <c r="AB112" i="15"/>
  <c r="P112" i="15"/>
  <c r="O112" i="15"/>
  <c r="N112" i="15"/>
  <c r="R112" i="15" s="1"/>
  <c r="S112" i="15" s="1"/>
  <c r="T112" i="15" s="1"/>
  <c r="I112" i="15"/>
  <c r="L112" i="15" s="1"/>
  <c r="AD111" i="15"/>
  <c r="AC111" i="15"/>
  <c r="AB111" i="15"/>
  <c r="P111" i="15"/>
  <c r="O111" i="15"/>
  <c r="N111" i="15"/>
  <c r="R111" i="15" s="1"/>
  <c r="S111" i="15" s="1"/>
  <c r="T111" i="15" s="1"/>
  <c r="H111" i="15"/>
  <c r="K111" i="15" s="1"/>
  <c r="AD110" i="15"/>
  <c r="AC110" i="15"/>
  <c r="AB110" i="15"/>
  <c r="P110" i="15"/>
  <c r="O110" i="15"/>
  <c r="N110" i="15"/>
  <c r="R110" i="15" s="1"/>
  <c r="S110" i="15" s="1"/>
  <c r="T110" i="15" s="1"/>
  <c r="I110" i="15"/>
  <c r="L110" i="15" s="1"/>
  <c r="AD109" i="15"/>
  <c r="AC109" i="15"/>
  <c r="AB109" i="15"/>
  <c r="P109" i="15"/>
  <c r="P115" i="15" s="1"/>
  <c r="O109" i="15"/>
  <c r="O115" i="15" s="1"/>
  <c r="N109" i="15"/>
  <c r="N115" i="15" s="1"/>
  <c r="AF108" i="15"/>
  <c r="AE108" i="15"/>
  <c r="AA108" i="15"/>
  <c r="Y108" i="15"/>
  <c r="X108" i="15"/>
  <c r="W108" i="15"/>
  <c r="V108" i="15"/>
  <c r="U108" i="15"/>
  <c r="Q108" i="15"/>
  <c r="AD107" i="15"/>
  <c r="AC107" i="15"/>
  <c r="AB107" i="15"/>
  <c r="P107" i="15"/>
  <c r="O107" i="15"/>
  <c r="N107" i="15"/>
  <c r="R107" i="15" s="1"/>
  <c r="S107" i="15" s="1"/>
  <c r="T107" i="15" s="1"/>
  <c r="I107" i="15"/>
  <c r="L107" i="15" s="1"/>
  <c r="AD106" i="15"/>
  <c r="AC106" i="15"/>
  <c r="AB106" i="15"/>
  <c r="P106" i="15"/>
  <c r="O106" i="15"/>
  <c r="N106" i="15"/>
  <c r="R106" i="15" s="1"/>
  <c r="S106" i="15" s="1"/>
  <c r="T106" i="15" s="1"/>
  <c r="H106" i="15"/>
  <c r="K106" i="15" s="1"/>
  <c r="AD105" i="15"/>
  <c r="AC105" i="15"/>
  <c r="AB105" i="15"/>
  <c r="P105" i="15"/>
  <c r="O105" i="15"/>
  <c r="N105" i="15"/>
  <c r="R105" i="15" s="1"/>
  <c r="S105" i="15" s="1"/>
  <c r="T105" i="15" s="1"/>
  <c r="I105" i="15"/>
  <c r="L105" i="15" s="1"/>
  <c r="AD104" i="15"/>
  <c r="AC104" i="15"/>
  <c r="AB104" i="15"/>
  <c r="P104" i="15"/>
  <c r="O104" i="15"/>
  <c r="N104" i="15"/>
  <c r="R104" i="15" s="1"/>
  <c r="S104" i="15" s="1"/>
  <c r="T104" i="15" s="1"/>
  <c r="H104" i="15"/>
  <c r="K104" i="15" s="1"/>
  <c r="AD103" i="15"/>
  <c r="AC103" i="15"/>
  <c r="AB103" i="15"/>
  <c r="P103" i="15"/>
  <c r="O103" i="15"/>
  <c r="N103" i="15"/>
  <c r="R103" i="15" s="1"/>
  <c r="S103" i="15" s="1"/>
  <c r="T103" i="15" s="1"/>
  <c r="G103" i="15"/>
  <c r="J103" i="15" s="1"/>
  <c r="AD102" i="15"/>
  <c r="AC102" i="15"/>
  <c r="AB102" i="15"/>
  <c r="P102" i="15"/>
  <c r="O102" i="15"/>
  <c r="N102" i="15"/>
  <c r="R102" i="15" s="1"/>
  <c r="S102" i="15" s="1"/>
  <c r="T102" i="15" s="1"/>
  <c r="G102" i="15"/>
  <c r="J102" i="15" s="1"/>
  <c r="AD101" i="15"/>
  <c r="AC101" i="15"/>
  <c r="AB101" i="15"/>
  <c r="S101" i="15"/>
  <c r="T101" i="15" s="1"/>
  <c r="P101" i="15"/>
  <c r="O101" i="15"/>
  <c r="N101" i="15"/>
  <c r="R101" i="15" s="1"/>
  <c r="AD100" i="15"/>
  <c r="AC100" i="15"/>
  <c r="AB100" i="15"/>
  <c r="P100" i="15"/>
  <c r="O100" i="15"/>
  <c r="N100" i="15"/>
  <c r="R100" i="15" s="1"/>
  <c r="S100" i="15" s="1"/>
  <c r="T100" i="15" s="1"/>
  <c r="G100" i="15"/>
  <c r="J100" i="15" s="1"/>
  <c r="AD99" i="15"/>
  <c r="AC99" i="15"/>
  <c r="AB99" i="15"/>
  <c r="P99" i="15"/>
  <c r="O99" i="15"/>
  <c r="N99" i="15"/>
  <c r="R99" i="15" s="1"/>
  <c r="S99" i="15" s="1"/>
  <c r="T99" i="15" s="1"/>
  <c r="AD98" i="15"/>
  <c r="AC98" i="15"/>
  <c r="AB98" i="15"/>
  <c r="P98" i="15"/>
  <c r="P108" i="15" s="1"/>
  <c r="O98" i="15"/>
  <c r="O108" i="15" s="1"/>
  <c r="N98" i="15"/>
  <c r="N108" i="15" s="1"/>
  <c r="G98" i="15"/>
  <c r="J98" i="15" s="1"/>
  <c r="AF97" i="15"/>
  <c r="AE97" i="15"/>
  <c r="AA97" i="15"/>
  <c r="Y97" i="15"/>
  <c r="X97" i="15"/>
  <c r="W97" i="15"/>
  <c r="V97" i="15"/>
  <c r="U97" i="15"/>
  <c r="Q97" i="15"/>
  <c r="AD96" i="15"/>
  <c r="AC96" i="15"/>
  <c r="AB96" i="15"/>
  <c r="P96" i="15"/>
  <c r="O96" i="15"/>
  <c r="N96" i="15"/>
  <c r="R96" i="15" s="1"/>
  <c r="S96" i="15" s="1"/>
  <c r="T96" i="15" s="1"/>
  <c r="AD95" i="15"/>
  <c r="AC95" i="15"/>
  <c r="AB95" i="15"/>
  <c r="P95" i="15"/>
  <c r="O95" i="15"/>
  <c r="N95" i="15"/>
  <c r="R95" i="15" s="1"/>
  <c r="S95" i="15" s="1"/>
  <c r="T95" i="15" s="1"/>
  <c r="I95" i="15"/>
  <c r="L95" i="15" s="1"/>
  <c r="AD94" i="15"/>
  <c r="AC94" i="15"/>
  <c r="AB94" i="15"/>
  <c r="P94" i="15"/>
  <c r="O94" i="15"/>
  <c r="N94" i="15"/>
  <c r="R94" i="15" s="1"/>
  <c r="S94" i="15" s="1"/>
  <c r="T94" i="15" s="1"/>
  <c r="AD93" i="15"/>
  <c r="AC93" i="15"/>
  <c r="AB93" i="15"/>
  <c r="P93" i="15"/>
  <c r="O93" i="15"/>
  <c r="N93" i="15"/>
  <c r="R93" i="15" s="1"/>
  <c r="S93" i="15" s="1"/>
  <c r="T93" i="15" s="1"/>
  <c r="I93" i="15"/>
  <c r="L93" i="15" s="1"/>
  <c r="AD92" i="15"/>
  <c r="AC92" i="15"/>
  <c r="AB92" i="15"/>
  <c r="P92" i="15"/>
  <c r="O92" i="15"/>
  <c r="N92" i="15"/>
  <c r="R92" i="15" s="1"/>
  <c r="S92" i="15" s="1"/>
  <c r="T92" i="15" s="1"/>
  <c r="H92" i="15"/>
  <c r="K92" i="15" s="1"/>
  <c r="AD91" i="15"/>
  <c r="AC91" i="15"/>
  <c r="AB91" i="15"/>
  <c r="P91" i="15"/>
  <c r="O91" i="15"/>
  <c r="N91" i="15"/>
  <c r="R91" i="15" s="1"/>
  <c r="S91" i="15" s="1"/>
  <c r="T91" i="15" s="1"/>
  <c r="G91" i="15"/>
  <c r="J91" i="15" s="1"/>
  <c r="AD90" i="15"/>
  <c r="AC90" i="15"/>
  <c r="AB90" i="15"/>
  <c r="P90" i="15"/>
  <c r="O90" i="15"/>
  <c r="N90" i="15"/>
  <c r="R90" i="15" s="1"/>
  <c r="S90" i="15" s="1"/>
  <c r="T90" i="15" s="1"/>
  <c r="H90" i="15"/>
  <c r="K90" i="15" s="1"/>
  <c r="AD89" i="15"/>
  <c r="AC89" i="15"/>
  <c r="AB89" i="15"/>
  <c r="P89" i="15"/>
  <c r="O89" i="15"/>
  <c r="N89" i="15"/>
  <c r="R89" i="15" s="1"/>
  <c r="S89" i="15" s="1"/>
  <c r="T89" i="15" s="1"/>
  <c r="I89" i="15"/>
  <c r="L89" i="15" s="1"/>
  <c r="AD88" i="15"/>
  <c r="AC88" i="15"/>
  <c r="AB88" i="15"/>
  <c r="P88" i="15"/>
  <c r="O88" i="15"/>
  <c r="N88" i="15"/>
  <c r="R88" i="15" s="1"/>
  <c r="S88" i="15" s="1"/>
  <c r="T88" i="15" s="1"/>
  <c r="H88" i="15"/>
  <c r="K88" i="15" s="1"/>
  <c r="AD87" i="15"/>
  <c r="AC87" i="15"/>
  <c r="AB87" i="15"/>
  <c r="P87" i="15"/>
  <c r="O87" i="15"/>
  <c r="N87" i="15"/>
  <c r="R87" i="15" s="1"/>
  <c r="S87" i="15" s="1"/>
  <c r="T87" i="15" s="1"/>
  <c r="I87" i="15"/>
  <c r="L87" i="15" s="1"/>
  <c r="AD86" i="15"/>
  <c r="AC86" i="15"/>
  <c r="AB86" i="15"/>
  <c r="P86" i="15"/>
  <c r="O86" i="15"/>
  <c r="N86" i="15"/>
  <c r="R86" i="15" s="1"/>
  <c r="S86" i="15" s="1"/>
  <c r="T86" i="15" s="1"/>
  <c r="H86" i="15"/>
  <c r="K86" i="15" s="1"/>
  <c r="AD85" i="15"/>
  <c r="AC85" i="15"/>
  <c r="AB85" i="15"/>
  <c r="P85" i="15"/>
  <c r="O85" i="15"/>
  <c r="N85" i="15"/>
  <c r="R85" i="15" s="1"/>
  <c r="S85" i="15" s="1"/>
  <c r="T85" i="15" s="1"/>
  <c r="I85" i="15"/>
  <c r="L85" i="15" s="1"/>
  <c r="AD84" i="15"/>
  <c r="AC84" i="15"/>
  <c r="AB84" i="15"/>
  <c r="P84" i="15"/>
  <c r="O84" i="15"/>
  <c r="N84" i="15"/>
  <c r="R84" i="15" s="1"/>
  <c r="S84" i="15" s="1"/>
  <c r="T84" i="15" s="1"/>
  <c r="H84" i="15"/>
  <c r="K84" i="15" s="1"/>
  <c r="AD83" i="15"/>
  <c r="AC83" i="15"/>
  <c r="AB83" i="15"/>
  <c r="P83" i="15"/>
  <c r="O83" i="15"/>
  <c r="N83" i="15"/>
  <c r="R83" i="15" s="1"/>
  <c r="S83" i="15" s="1"/>
  <c r="T83" i="15" s="1"/>
  <c r="I83" i="15"/>
  <c r="L83" i="15" s="1"/>
  <c r="AD82" i="15"/>
  <c r="AC82" i="15"/>
  <c r="AB82" i="15"/>
  <c r="P82" i="15"/>
  <c r="O82" i="15"/>
  <c r="N82" i="15"/>
  <c r="R82" i="15" s="1"/>
  <c r="S82" i="15" s="1"/>
  <c r="T82" i="15" s="1"/>
  <c r="H82" i="15"/>
  <c r="K82" i="15" s="1"/>
  <c r="AD81" i="15"/>
  <c r="AC81" i="15"/>
  <c r="AB81" i="15"/>
  <c r="P81" i="15"/>
  <c r="O81" i="15"/>
  <c r="N81" i="15"/>
  <c r="R81" i="15" s="1"/>
  <c r="S81" i="15" s="1"/>
  <c r="T81" i="15" s="1"/>
  <c r="I81" i="15"/>
  <c r="L81" i="15" s="1"/>
  <c r="AD80" i="15"/>
  <c r="AC80" i="15"/>
  <c r="AB80" i="15"/>
  <c r="P80" i="15"/>
  <c r="O80" i="15"/>
  <c r="N80" i="15"/>
  <c r="R80" i="15" s="1"/>
  <c r="S80" i="15" s="1"/>
  <c r="T80" i="15" s="1"/>
  <c r="H80" i="15"/>
  <c r="K80" i="15" s="1"/>
  <c r="AD79" i="15"/>
  <c r="AC79" i="15"/>
  <c r="AB79" i="15"/>
  <c r="P79" i="15"/>
  <c r="O79" i="15"/>
  <c r="N79" i="15"/>
  <c r="R79" i="15" s="1"/>
  <c r="S79" i="15" s="1"/>
  <c r="T79" i="15" s="1"/>
  <c r="I79" i="15"/>
  <c r="L79" i="15" s="1"/>
  <c r="AD78" i="15"/>
  <c r="AC78" i="15"/>
  <c r="AB78" i="15"/>
  <c r="P78" i="15"/>
  <c r="P97" i="15" s="1"/>
  <c r="O78" i="15"/>
  <c r="O97" i="15" s="1"/>
  <c r="N78" i="15"/>
  <c r="AF77" i="15"/>
  <c r="AA77" i="15"/>
  <c r="Y77" i="15"/>
  <c r="X77" i="15"/>
  <c r="W77" i="15"/>
  <c r="V77" i="15"/>
  <c r="U77" i="15"/>
  <c r="Q77" i="15"/>
  <c r="AD76" i="15"/>
  <c r="AC76" i="15"/>
  <c r="AB76" i="15"/>
  <c r="P76" i="15"/>
  <c r="O76" i="15"/>
  <c r="N76" i="15"/>
  <c r="R76" i="15" s="1"/>
  <c r="S76" i="15" s="1"/>
  <c r="T76" i="15" s="1"/>
  <c r="AE75" i="15"/>
  <c r="AE77" i="15" s="1"/>
  <c r="AD75" i="15"/>
  <c r="AC75" i="15"/>
  <c r="AB75" i="15"/>
  <c r="P75" i="15"/>
  <c r="O75" i="15"/>
  <c r="N75" i="15"/>
  <c r="R75" i="15" s="1"/>
  <c r="S75" i="15" s="1"/>
  <c r="T75" i="15" s="1"/>
  <c r="I75" i="15"/>
  <c r="L75" i="15" s="1"/>
  <c r="AD74" i="15"/>
  <c r="AC74" i="15"/>
  <c r="AB74" i="15"/>
  <c r="P74" i="15"/>
  <c r="O74" i="15"/>
  <c r="N74" i="15"/>
  <c r="R74" i="15" s="1"/>
  <c r="S74" i="15" s="1"/>
  <c r="T74" i="15" s="1"/>
  <c r="I74" i="15"/>
  <c r="L74" i="15" s="1"/>
  <c r="AD73" i="15"/>
  <c r="AC73" i="15"/>
  <c r="AB73" i="15"/>
  <c r="R73" i="15"/>
  <c r="S73" i="15" s="1"/>
  <c r="T73" i="15" s="1"/>
  <c r="P73" i="15"/>
  <c r="O73" i="15"/>
  <c r="N73" i="15"/>
  <c r="AD72" i="15"/>
  <c r="AC72" i="15"/>
  <c r="AB72" i="15"/>
  <c r="P72" i="15"/>
  <c r="P77" i="15" s="1"/>
  <c r="O72" i="15"/>
  <c r="O77" i="15" s="1"/>
  <c r="N72" i="15"/>
  <c r="N77" i="15" s="1"/>
  <c r="H72" i="15"/>
  <c r="K72" i="15" s="1"/>
  <c r="AF71" i="15"/>
  <c r="AE71" i="15"/>
  <c r="Y71" i="15"/>
  <c r="X71" i="15"/>
  <c r="W71" i="15"/>
  <c r="V71" i="15"/>
  <c r="U71" i="15"/>
  <c r="Q71" i="15"/>
  <c r="AD70" i="15"/>
  <c r="AC70" i="15"/>
  <c r="AB70" i="15"/>
  <c r="P70" i="15"/>
  <c r="O70" i="15"/>
  <c r="N70" i="15"/>
  <c r="R70" i="15" s="1"/>
  <c r="S70" i="15" s="1"/>
  <c r="T70" i="15" s="1"/>
  <c r="G70" i="15"/>
  <c r="J70" i="15" s="1"/>
  <c r="AD69" i="15"/>
  <c r="AC69" i="15"/>
  <c r="AB69" i="15"/>
  <c r="P69" i="15"/>
  <c r="O69" i="15"/>
  <c r="N69" i="15"/>
  <c r="R69" i="15" s="1"/>
  <c r="S69" i="15" s="1"/>
  <c r="T69" i="15" s="1"/>
  <c r="AD68" i="15"/>
  <c r="AC68" i="15"/>
  <c r="AB68" i="15"/>
  <c r="P68" i="15"/>
  <c r="O68" i="15"/>
  <c r="N68" i="15"/>
  <c r="R68" i="15" s="1"/>
  <c r="S68" i="15" s="1"/>
  <c r="T68" i="15" s="1"/>
  <c r="G68" i="15"/>
  <c r="J68" i="15" s="1"/>
  <c r="AD67" i="15"/>
  <c r="AC67" i="15"/>
  <c r="AB67" i="15"/>
  <c r="P67" i="15"/>
  <c r="O67" i="15"/>
  <c r="N67" i="15"/>
  <c r="R67" i="15" s="1"/>
  <c r="S67" i="15" s="1"/>
  <c r="T67" i="15" s="1"/>
  <c r="H67" i="15"/>
  <c r="K67" i="15" s="1"/>
  <c r="AD66" i="15"/>
  <c r="AC66" i="15"/>
  <c r="AB66" i="15"/>
  <c r="P66" i="15"/>
  <c r="O66" i="15"/>
  <c r="N66" i="15"/>
  <c r="R66" i="15" s="1"/>
  <c r="S66" i="15" s="1"/>
  <c r="T66" i="15" s="1"/>
  <c r="I66" i="15"/>
  <c r="L66" i="15" s="1"/>
  <c r="AD65" i="15"/>
  <c r="AC65" i="15"/>
  <c r="AB65" i="15"/>
  <c r="P65" i="15"/>
  <c r="O65" i="15"/>
  <c r="N65" i="15"/>
  <c r="R65" i="15" s="1"/>
  <c r="S65" i="15" s="1"/>
  <c r="T65" i="15" s="1"/>
  <c r="H65" i="15"/>
  <c r="K65" i="15" s="1"/>
  <c r="AD64" i="15"/>
  <c r="AC64" i="15"/>
  <c r="AB64" i="15"/>
  <c r="P64" i="15"/>
  <c r="O64" i="15"/>
  <c r="N64" i="15"/>
  <c r="R64" i="15" s="1"/>
  <c r="S64" i="15" s="1"/>
  <c r="T64" i="15" s="1"/>
  <c r="H64" i="15"/>
  <c r="K64" i="15" s="1"/>
  <c r="AD63" i="15"/>
  <c r="AC63" i="15"/>
  <c r="AB63" i="15"/>
  <c r="P63" i="15"/>
  <c r="O63" i="15"/>
  <c r="N63" i="15"/>
  <c r="R63" i="15" s="1"/>
  <c r="S63" i="15" s="1"/>
  <c r="T63" i="15" s="1"/>
  <c r="H63" i="15"/>
  <c r="K63" i="15" s="1"/>
  <c r="AD62" i="15"/>
  <c r="AC62" i="15"/>
  <c r="AB62" i="15"/>
  <c r="P62" i="15"/>
  <c r="O62" i="15"/>
  <c r="N62" i="15"/>
  <c r="R62" i="15" s="1"/>
  <c r="S62" i="15" s="1"/>
  <c r="T62" i="15" s="1"/>
  <c r="G62" i="15"/>
  <c r="J62" i="15" s="1"/>
  <c r="AD61" i="15"/>
  <c r="AC61" i="15"/>
  <c r="AB61" i="15"/>
  <c r="P61" i="15"/>
  <c r="O61" i="15"/>
  <c r="N61" i="15"/>
  <c r="R61" i="15" s="1"/>
  <c r="S61" i="15" s="1"/>
  <c r="T61" i="15" s="1"/>
  <c r="H61" i="15"/>
  <c r="K61" i="15" s="1"/>
  <c r="AC60" i="15"/>
  <c r="P60" i="15"/>
  <c r="O60" i="15"/>
  <c r="N60" i="15"/>
  <c r="R60" i="15" s="1"/>
  <c r="S60" i="15" s="1"/>
  <c r="T60" i="15" s="1"/>
  <c r="G60" i="15"/>
  <c r="J60" i="15" s="1"/>
  <c r="AD59" i="15"/>
  <c r="AC59" i="15"/>
  <c r="AB59" i="15"/>
  <c r="P59" i="15"/>
  <c r="O59" i="15"/>
  <c r="N59" i="15"/>
  <c r="R59" i="15" s="1"/>
  <c r="S59" i="15" s="1"/>
  <c r="T59" i="15" s="1"/>
  <c r="AD58" i="15"/>
  <c r="AC58" i="15"/>
  <c r="AB58" i="15"/>
  <c r="P58" i="15"/>
  <c r="O58" i="15"/>
  <c r="N58" i="15"/>
  <c r="R58" i="15" s="1"/>
  <c r="S58" i="15" s="1"/>
  <c r="T58" i="15" s="1"/>
  <c r="G58" i="15"/>
  <c r="J58" i="15" s="1"/>
  <c r="AD57" i="15"/>
  <c r="AC57" i="15"/>
  <c r="AB57" i="15"/>
  <c r="S57" i="15"/>
  <c r="T57" i="15" s="1"/>
  <c r="P57" i="15"/>
  <c r="O57" i="15"/>
  <c r="N57" i="15"/>
  <c r="R57" i="15" s="1"/>
  <c r="AD56" i="15"/>
  <c r="AC56" i="15"/>
  <c r="AB56" i="15"/>
  <c r="P56" i="15"/>
  <c r="O56" i="15"/>
  <c r="N56" i="15"/>
  <c r="R56" i="15" s="1"/>
  <c r="S56" i="15" s="1"/>
  <c r="T56" i="15" s="1"/>
  <c r="G56" i="15"/>
  <c r="J56" i="15" s="1"/>
  <c r="AD55" i="15"/>
  <c r="AC55" i="15"/>
  <c r="AB55" i="15"/>
  <c r="P55" i="15"/>
  <c r="O55" i="15"/>
  <c r="N55" i="15"/>
  <c r="R55" i="15" s="1"/>
  <c r="S55" i="15" s="1"/>
  <c r="T55" i="15" s="1"/>
  <c r="AD54" i="15"/>
  <c r="AC54" i="15"/>
  <c r="AB54" i="15"/>
  <c r="P54" i="15"/>
  <c r="O54" i="15"/>
  <c r="N54" i="15"/>
  <c r="R54" i="15" s="1"/>
  <c r="S54" i="15" s="1"/>
  <c r="T54" i="15" s="1"/>
  <c r="G54" i="15"/>
  <c r="J54" i="15" s="1"/>
  <c r="AD53" i="15"/>
  <c r="AC53" i="15"/>
  <c r="AB53" i="15"/>
  <c r="P53" i="15"/>
  <c r="O53" i="15"/>
  <c r="N53" i="15"/>
  <c r="R53" i="15" s="1"/>
  <c r="S53" i="15" s="1"/>
  <c r="T53" i="15" s="1"/>
  <c r="I53" i="15"/>
  <c r="L53" i="15" s="1"/>
  <c r="AD52" i="15"/>
  <c r="AC52" i="15"/>
  <c r="AB52" i="15"/>
  <c r="P52" i="15"/>
  <c r="P71" i="15" s="1"/>
  <c r="O52" i="15"/>
  <c r="O71" i="15" s="1"/>
  <c r="N52" i="15"/>
  <c r="N71" i="15" s="1"/>
  <c r="AF51" i="15"/>
  <c r="AE51" i="15"/>
  <c r="AA51" i="15"/>
  <c r="Y51" i="15"/>
  <c r="X51" i="15"/>
  <c r="W51" i="15"/>
  <c r="V51" i="15"/>
  <c r="U51" i="15"/>
  <c r="Q51" i="15"/>
  <c r="AD50" i="15"/>
  <c r="AC50" i="15"/>
  <c r="AB50" i="15"/>
  <c r="P50" i="15"/>
  <c r="O50" i="15"/>
  <c r="N50" i="15"/>
  <c r="R50" i="15" s="1"/>
  <c r="S50" i="15" s="1"/>
  <c r="T50" i="15" s="1"/>
  <c r="H50" i="15"/>
  <c r="K50" i="15" s="1"/>
  <c r="AD49" i="15"/>
  <c r="AC49" i="15"/>
  <c r="AB49" i="15"/>
  <c r="P49" i="15"/>
  <c r="O49" i="15"/>
  <c r="N49" i="15"/>
  <c r="R49" i="15" s="1"/>
  <c r="S49" i="15" s="1"/>
  <c r="T49" i="15" s="1"/>
  <c r="G49" i="15"/>
  <c r="J49" i="15" s="1"/>
  <c r="AD48" i="15"/>
  <c r="AC48" i="15"/>
  <c r="AB48" i="15"/>
  <c r="P48" i="15"/>
  <c r="P51" i="15" s="1"/>
  <c r="O48" i="15"/>
  <c r="O51" i="15" s="1"/>
  <c r="N48" i="15"/>
  <c r="N51" i="15" s="1"/>
  <c r="AF47" i="15"/>
  <c r="AE47" i="15"/>
  <c r="AA47" i="15"/>
  <c r="Y47" i="15"/>
  <c r="X47" i="15"/>
  <c r="W47" i="15"/>
  <c r="V47" i="15"/>
  <c r="U47" i="15"/>
  <c r="Q47" i="15"/>
  <c r="AD46" i="15"/>
  <c r="AC46" i="15"/>
  <c r="AB46" i="15"/>
  <c r="P46" i="15"/>
  <c r="O46" i="15"/>
  <c r="N46" i="15"/>
  <c r="R46" i="15" s="1"/>
  <c r="S46" i="15" s="1"/>
  <c r="T46" i="15" s="1"/>
  <c r="I46" i="15"/>
  <c r="L46" i="15" s="1"/>
  <c r="AD45" i="15"/>
  <c r="AC45" i="15"/>
  <c r="AB45" i="15"/>
  <c r="P45" i="15"/>
  <c r="O45" i="15"/>
  <c r="N45" i="15"/>
  <c r="R45" i="15" s="1"/>
  <c r="S45" i="15" s="1"/>
  <c r="T45" i="15" s="1"/>
  <c r="G45" i="15"/>
  <c r="J45" i="15" s="1"/>
  <c r="AD44" i="15"/>
  <c r="AC44" i="15"/>
  <c r="AB44" i="15"/>
  <c r="P44" i="15"/>
  <c r="O44" i="15"/>
  <c r="N44" i="15"/>
  <c r="R44" i="15" s="1"/>
  <c r="S44" i="15" s="1"/>
  <c r="T44" i="15" s="1"/>
  <c r="I44" i="15"/>
  <c r="L44" i="15" s="1"/>
  <c r="AD43" i="15"/>
  <c r="AC43" i="15"/>
  <c r="AB43" i="15"/>
  <c r="P43" i="15"/>
  <c r="O43" i="15"/>
  <c r="N43" i="15"/>
  <c r="R43" i="15" s="1"/>
  <c r="S43" i="15" s="1"/>
  <c r="T43" i="15" s="1"/>
  <c r="G43" i="15"/>
  <c r="J43" i="15" s="1"/>
  <c r="AD42" i="15"/>
  <c r="AC42" i="15"/>
  <c r="AB42" i="15"/>
  <c r="P42" i="15"/>
  <c r="O42" i="15"/>
  <c r="N42" i="15"/>
  <c r="R42" i="15" s="1"/>
  <c r="S42" i="15" s="1"/>
  <c r="T42" i="15" s="1"/>
  <c r="I42" i="15"/>
  <c r="L42" i="15" s="1"/>
  <c r="AD41" i="15"/>
  <c r="AC41" i="15"/>
  <c r="AB41" i="15"/>
  <c r="P41" i="15"/>
  <c r="O41" i="15"/>
  <c r="N41" i="15"/>
  <c r="R41" i="15" s="1"/>
  <c r="S41" i="15" s="1"/>
  <c r="T41" i="15" s="1"/>
  <c r="G41" i="15"/>
  <c r="J41" i="15" s="1"/>
  <c r="AD40" i="15"/>
  <c r="AC40" i="15"/>
  <c r="AB40" i="15"/>
  <c r="P40" i="15"/>
  <c r="O40" i="15"/>
  <c r="N40" i="15"/>
  <c r="R40" i="15" s="1"/>
  <c r="S40" i="15" s="1"/>
  <c r="T40" i="15" s="1"/>
  <c r="I40" i="15"/>
  <c r="L40" i="15" s="1"/>
  <c r="AD39" i="15"/>
  <c r="AC39" i="15"/>
  <c r="AB39" i="15"/>
  <c r="P39" i="15"/>
  <c r="P47" i="15" s="1"/>
  <c r="O39" i="15"/>
  <c r="O47" i="15" s="1"/>
  <c r="N39" i="15"/>
  <c r="R39" i="15" s="1"/>
  <c r="G39" i="15"/>
  <c r="J39" i="15" s="1"/>
  <c r="AF38" i="15"/>
  <c r="AE38" i="15"/>
  <c r="AA38" i="15"/>
  <c r="Y38" i="15"/>
  <c r="X38" i="15"/>
  <c r="W38" i="15"/>
  <c r="V38" i="15"/>
  <c r="U38" i="15"/>
  <c r="Q38" i="15"/>
  <c r="AD37" i="15"/>
  <c r="AC37" i="15"/>
  <c r="AB37" i="15"/>
  <c r="P37" i="15"/>
  <c r="O37" i="15"/>
  <c r="N37" i="15"/>
  <c r="R37" i="15" s="1"/>
  <c r="S37" i="15" s="1"/>
  <c r="T37" i="15" s="1"/>
  <c r="H37" i="15"/>
  <c r="K37" i="15" s="1"/>
  <c r="AD36" i="15"/>
  <c r="AC36" i="15"/>
  <c r="AB36" i="15"/>
  <c r="P36" i="15"/>
  <c r="O36" i="15"/>
  <c r="N36" i="15"/>
  <c r="R36" i="15" s="1"/>
  <c r="S36" i="15" s="1"/>
  <c r="T36" i="15" s="1"/>
  <c r="H36" i="15"/>
  <c r="K36" i="15" s="1"/>
  <c r="AD35" i="15"/>
  <c r="AC35" i="15"/>
  <c r="AB35" i="15"/>
  <c r="P35" i="15"/>
  <c r="O35" i="15"/>
  <c r="N35" i="15"/>
  <c r="R35" i="15" s="1"/>
  <c r="S35" i="15" s="1"/>
  <c r="T35" i="15" s="1"/>
  <c r="H35" i="15"/>
  <c r="K35" i="15" s="1"/>
  <c r="AD34" i="15"/>
  <c r="AC34" i="15"/>
  <c r="AB34" i="15"/>
  <c r="P34" i="15"/>
  <c r="O34" i="15"/>
  <c r="N34" i="15"/>
  <c r="R34" i="15" s="1"/>
  <c r="S34" i="15" s="1"/>
  <c r="T34" i="15" s="1"/>
  <c r="H34" i="15"/>
  <c r="K34" i="15" s="1"/>
  <c r="AD33" i="15"/>
  <c r="AC33" i="15"/>
  <c r="AB33" i="15"/>
  <c r="P33" i="15"/>
  <c r="O33" i="15"/>
  <c r="N33" i="15"/>
  <c r="R33" i="15" s="1"/>
  <c r="S33" i="15" s="1"/>
  <c r="T33" i="15" s="1"/>
  <c r="H33" i="15"/>
  <c r="K33" i="15" s="1"/>
  <c r="AD32" i="15"/>
  <c r="AC32" i="15"/>
  <c r="AB32" i="15"/>
  <c r="P32" i="15"/>
  <c r="O32" i="15"/>
  <c r="N32" i="15"/>
  <c r="R32" i="15" s="1"/>
  <c r="S32" i="15" s="1"/>
  <c r="T32" i="15" s="1"/>
  <c r="G32" i="15"/>
  <c r="J32" i="15" s="1"/>
  <c r="AD31" i="15"/>
  <c r="AC31" i="15"/>
  <c r="AB31" i="15"/>
  <c r="P31" i="15"/>
  <c r="O31" i="15"/>
  <c r="N31" i="15"/>
  <c r="R31" i="15" s="1"/>
  <c r="S31" i="15" s="1"/>
  <c r="T31" i="15" s="1"/>
  <c r="H31" i="15"/>
  <c r="K31" i="15" s="1"/>
  <c r="AD30" i="15"/>
  <c r="AC30" i="15"/>
  <c r="AB30" i="15"/>
  <c r="P30" i="15"/>
  <c r="O30" i="15"/>
  <c r="N30" i="15"/>
  <c r="R30" i="15" s="1"/>
  <c r="S30" i="15" s="1"/>
  <c r="T30" i="15" s="1"/>
  <c r="H30" i="15"/>
  <c r="K30" i="15" s="1"/>
  <c r="AD29" i="15"/>
  <c r="AC29" i="15"/>
  <c r="AB29" i="15"/>
  <c r="P29" i="15"/>
  <c r="O29" i="15"/>
  <c r="N29" i="15"/>
  <c r="R29" i="15" s="1"/>
  <c r="S29" i="15" s="1"/>
  <c r="T29" i="15" s="1"/>
  <c r="H29" i="15"/>
  <c r="K29" i="15" s="1"/>
  <c r="AD28" i="15"/>
  <c r="AC28" i="15"/>
  <c r="AB28" i="15"/>
  <c r="P28" i="15"/>
  <c r="O28" i="15"/>
  <c r="N28" i="15"/>
  <c r="R28" i="15" s="1"/>
  <c r="S28" i="15" s="1"/>
  <c r="T28" i="15" s="1"/>
  <c r="G28" i="15"/>
  <c r="J28" i="15" s="1"/>
  <c r="AD27" i="15"/>
  <c r="AC27" i="15"/>
  <c r="AB27" i="15"/>
  <c r="P27" i="15"/>
  <c r="P38" i="15" s="1"/>
  <c r="O27" i="15"/>
  <c r="O38" i="15" s="1"/>
  <c r="N27" i="15"/>
  <c r="N38" i="15" s="1"/>
  <c r="I27" i="15"/>
  <c r="L27" i="15" s="1"/>
  <c r="AF26" i="15"/>
  <c r="AE26" i="15"/>
  <c r="AA26" i="15"/>
  <c r="X26" i="15"/>
  <c r="W26" i="15"/>
  <c r="V26" i="15"/>
  <c r="U26" i="15"/>
  <c r="Q26" i="15"/>
  <c r="AC25" i="15"/>
  <c r="AB25" i="15"/>
  <c r="R25" i="15"/>
  <c r="S25" i="15" s="1"/>
  <c r="T25" i="15" s="1"/>
  <c r="AC24" i="15"/>
  <c r="AB24" i="15"/>
  <c r="R24" i="15"/>
  <c r="S24" i="15" s="1"/>
  <c r="T24" i="15" s="1"/>
  <c r="AC23" i="15"/>
  <c r="AB23" i="15"/>
  <c r="R23" i="15"/>
  <c r="S23" i="15" s="1"/>
  <c r="T23" i="15" s="1"/>
  <c r="AC22" i="15"/>
  <c r="AB22" i="15"/>
  <c r="Y22" i="15"/>
  <c r="R22" i="15"/>
  <c r="S22" i="15" s="1"/>
  <c r="T22" i="15" s="1"/>
  <c r="AC21" i="15"/>
  <c r="AB21" i="15"/>
  <c r="Y21" i="15"/>
  <c r="R21" i="15"/>
  <c r="S21" i="15" s="1"/>
  <c r="T21" i="15" s="1"/>
  <c r="AC20" i="15"/>
  <c r="AB20" i="15"/>
  <c r="Y20" i="15"/>
  <c r="R20" i="15"/>
  <c r="S20" i="15" s="1"/>
  <c r="T20" i="15" s="1"/>
  <c r="AC19" i="15"/>
  <c r="AB19" i="15"/>
  <c r="Y19" i="15"/>
  <c r="R19" i="15"/>
  <c r="S19" i="15" s="1"/>
  <c r="T19" i="15" s="1"/>
  <c r="AC18" i="15"/>
  <c r="AB18" i="15"/>
  <c r="Y18" i="15"/>
  <c r="R18" i="15"/>
  <c r="S18" i="15" s="1"/>
  <c r="T18" i="15" s="1"/>
  <c r="AC17" i="15"/>
  <c r="AB17" i="15"/>
  <c r="Y17" i="15"/>
  <c r="R17" i="15"/>
  <c r="S17" i="15" s="1"/>
  <c r="T17" i="15" s="1"/>
  <c r="AC16" i="15"/>
  <c r="AB16" i="15"/>
  <c r="Y16" i="15"/>
  <c r="R16" i="15"/>
  <c r="S16" i="15" s="1"/>
  <c r="T16" i="15" s="1"/>
  <c r="AC15" i="15"/>
  <c r="AB15" i="15"/>
  <c r="Y15" i="15"/>
  <c r="R15" i="15"/>
  <c r="S15" i="15" s="1"/>
  <c r="T15" i="15" s="1"/>
  <c r="AC14" i="15"/>
  <c r="AB14" i="15"/>
  <c r="Y14" i="15"/>
  <c r="R14" i="15"/>
  <c r="S14" i="15" s="1"/>
  <c r="T14" i="15" s="1"/>
  <c r="AC13" i="15"/>
  <c r="AB13" i="15"/>
  <c r="Y13" i="15"/>
  <c r="R13" i="15"/>
  <c r="S13" i="15" s="1"/>
  <c r="T13" i="15" s="1"/>
  <c r="AC12" i="15"/>
  <c r="AB12" i="15"/>
  <c r="Y12" i="15"/>
  <c r="P26" i="15"/>
  <c r="P140" i="15" s="1"/>
  <c r="O26" i="15"/>
  <c r="O140" i="15" s="1"/>
  <c r="R12" i="15"/>
  <c r="AJ11" i="15"/>
  <c r="H166" i="2" l="1"/>
  <c r="K166" i="2"/>
  <c r="I166" i="2"/>
  <c r="H144" i="2"/>
  <c r="K144" i="2"/>
  <c r="I144" i="2"/>
  <c r="H207" i="2"/>
  <c r="J207" i="2" s="1"/>
  <c r="J209" i="2" s="1"/>
  <c r="J238" i="2" s="1"/>
  <c r="F4" i="27" s="1"/>
  <c r="I207" i="2"/>
  <c r="K207" i="2" s="1"/>
  <c r="H79" i="4"/>
  <c r="I79" i="4"/>
  <c r="K79" i="4"/>
  <c r="R52" i="15"/>
  <c r="R71" i="15" s="1"/>
  <c r="R98" i="15"/>
  <c r="H103" i="2"/>
  <c r="K103" i="2"/>
  <c r="I103" i="2"/>
  <c r="I122" i="2" s="1"/>
  <c r="H91" i="4"/>
  <c r="I91" i="4"/>
  <c r="K91" i="4"/>
  <c r="H135" i="3"/>
  <c r="I135" i="3"/>
  <c r="K135" i="3"/>
  <c r="H120" i="3"/>
  <c r="I120" i="3"/>
  <c r="K120" i="3"/>
  <c r="H169" i="3"/>
  <c r="H86" i="3"/>
  <c r="H97" i="3"/>
  <c r="H93" i="3"/>
  <c r="H99" i="3"/>
  <c r="H96" i="3"/>
  <c r="H92" i="3"/>
  <c r="G91" i="3"/>
  <c r="H95" i="3"/>
  <c r="H90" i="3"/>
  <c r="H83" i="3"/>
  <c r="H98" i="3"/>
  <c r="H191" i="1"/>
  <c r="K191" i="1"/>
  <c r="I191" i="1"/>
  <c r="H169" i="1"/>
  <c r="J169" i="1" s="1"/>
  <c r="J171" i="1" s="1"/>
  <c r="J273" i="1" s="1"/>
  <c r="F3" i="27" s="1"/>
  <c r="K169" i="1"/>
  <c r="I169" i="1"/>
  <c r="Q140" i="15"/>
  <c r="H122" i="1"/>
  <c r="H151" i="2"/>
  <c r="H126" i="1"/>
  <c r="H53" i="4"/>
  <c r="H88" i="3"/>
  <c r="AD139" i="15"/>
  <c r="AC115" i="15"/>
  <c r="AD115" i="15"/>
  <c r="AC77" i="15"/>
  <c r="S12" i="15"/>
  <c r="T12" i="15" s="1"/>
  <c r="T26" i="15" s="1"/>
  <c r="T140" i="15" s="1"/>
  <c r="R26" i="15"/>
  <c r="R140" i="15" s="1"/>
  <c r="AB47" i="15"/>
  <c r="AB51" i="15"/>
  <c r="AD77" i="15"/>
  <c r="R116" i="15"/>
  <c r="R130" i="15" s="1"/>
  <c r="AC26" i="15"/>
  <c r="AB130" i="15"/>
  <c r="R139" i="15"/>
  <c r="N26" i="15"/>
  <c r="N140" i="15" s="1"/>
  <c r="AC47" i="15"/>
  <c r="AB26" i="15"/>
  <c r="R27" i="15"/>
  <c r="R38" i="15" s="1"/>
  <c r="R48" i="15"/>
  <c r="R51" i="15" s="1"/>
  <c r="AB139" i="15"/>
  <c r="V140" i="15"/>
  <c r="AC38" i="15"/>
  <c r="AC51" i="15"/>
  <c r="AD60" i="15"/>
  <c r="AD71" i="15" s="1"/>
  <c r="AB97" i="15"/>
  <c r="AB108" i="15"/>
  <c r="AB115" i="15"/>
  <c r="AC139" i="15"/>
  <c r="AD47" i="15"/>
  <c r="AB77" i="15"/>
  <c r="AC97" i="15"/>
  <c r="AC130" i="15"/>
  <c r="AB38" i="15"/>
  <c r="H89" i="15"/>
  <c r="K89" i="15" s="1"/>
  <c r="G27" i="15"/>
  <c r="J27" i="15" s="1"/>
  <c r="H68" i="15"/>
  <c r="K68" i="15" s="1"/>
  <c r="G81" i="15"/>
  <c r="J81" i="15" s="1"/>
  <c r="H83" i="15"/>
  <c r="K83" i="15" s="1"/>
  <c r="I37" i="15"/>
  <c r="L37" i="15" s="1"/>
  <c r="I127" i="15"/>
  <c r="L127" i="15" s="1"/>
  <c r="G87" i="15"/>
  <c r="J87" i="15" s="1"/>
  <c r="I35" i="15"/>
  <c r="L35" i="15" s="1"/>
  <c r="I88" i="15"/>
  <c r="L88" i="15" s="1"/>
  <c r="H49" i="15"/>
  <c r="K49" i="15" s="1"/>
  <c r="I98" i="15"/>
  <c r="L98" i="15" s="1"/>
  <c r="I100" i="15"/>
  <c r="L100" i="15" s="1"/>
  <c r="I104" i="15"/>
  <c r="L104" i="15" s="1"/>
  <c r="I118" i="15"/>
  <c r="L118" i="15" s="1"/>
  <c r="H126" i="15"/>
  <c r="K126" i="15" s="1"/>
  <c r="G34" i="15"/>
  <c r="J34" i="15" s="1"/>
  <c r="I63" i="15"/>
  <c r="L63" i="15" s="1"/>
  <c r="H93" i="15"/>
  <c r="K93" i="15" s="1"/>
  <c r="G95" i="15"/>
  <c r="J95" i="15" s="1"/>
  <c r="G118" i="15"/>
  <c r="J118" i="15" s="1"/>
  <c r="G120" i="15"/>
  <c r="J120" i="15" s="1"/>
  <c r="G126" i="15"/>
  <c r="J126" i="15" s="1"/>
  <c r="I29" i="15"/>
  <c r="L29" i="15" s="1"/>
  <c r="G30" i="15"/>
  <c r="J30" i="15" s="1"/>
  <c r="I34" i="15"/>
  <c r="L34" i="15" s="1"/>
  <c r="H110" i="15"/>
  <c r="K110" i="15" s="1"/>
  <c r="H128" i="15"/>
  <c r="K128" i="15" s="1"/>
  <c r="H42" i="15"/>
  <c r="K42" i="15" s="1"/>
  <c r="I54" i="15"/>
  <c r="L54" i="15" s="1"/>
  <c r="H58" i="15"/>
  <c r="K58" i="15" s="1"/>
  <c r="H60" i="15"/>
  <c r="K60" i="15" s="1"/>
  <c r="I61" i="15"/>
  <c r="L61" i="15" s="1"/>
  <c r="G66" i="15"/>
  <c r="J66" i="15" s="1"/>
  <c r="G72" i="15"/>
  <c r="J72" i="15" s="1"/>
  <c r="I92" i="15"/>
  <c r="L92" i="15" s="1"/>
  <c r="G121" i="15"/>
  <c r="J121" i="15" s="1"/>
  <c r="I123" i="15"/>
  <c r="L123" i="15" s="1"/>
  <c r="H46" i="15"/>
  <c r="K46" i="15" s="1"/>
  <c r="I122" i="15"/>
  <c r="L122" i="15" s="1"/>
  <c r="G35" i="15"/>
  <c r="J35" i="15" s="1"/>
  <c r="G42" i="15"/>
  <c r="J42" i="15" s="1"/>
  <c r="I49" i="15"/>
  <c r="L49" i="15" s="1"/>
  <c r="I60" i="15"/>
  <c r="L60" i="15" s="1"/>
  <c r="G64" i="15"/>
  <c r="J64" i="15" s="1"/>
  <c r="H66" i="15"/>
  <c r="K66" i="15" s="1"/>
  <c r="I68" i="15"/>
  <c r="L68" i="15" s="1"/>
  <c r="G79" i="15"/>
  <c r="H81" i="15"/>
  <c r="K81" i="15" s="1"/>
  <c r="G83" i="15"/>
  <c r="G89" i="15"/>
  <c r="J89" i="15" s="1"/>
  <c r="G93" i="15"/>
  <c r="J93" i="15" s="1"/>
  <c r="H98" i="15"/>
  <c r="K98" i="15" s="1"/>
  <c r="G105" i="15"/>
  <c r="J105" i="15" s="1"/>
  <c r="G106" i="15"/>
  <c r="J106" i="15" s="1"/>
  <c r="H112" i="15"/>
  <c r="K112" i="15" s="1"/>
  <c r="H132" i="15"/>
  <c r="K132" i="15" s="1"/>
  <c r="H79" i="15"/>
  <c r="K79" i="15" s="1"/>
  <c r="I106" i="15"/>
  <c r="L106" i="15" s="1"/>
  <c r="G36" i="15"/>
  <c r="J36" i="15" s="1"/>
  <c r="G46" i="15"/>
  <c r="J46" i="15" s="1"/>
  <c r="I65" i="15"/>
  <c r="L65" i="15" s="1"/>
  <c r="H70" i="15"/>
  <c r="K70" i="15" s="1"/>
  <c r="I80" i="15"/>
  <c r="L80" i="15" s="1"/>
  <c r="I84" i="15"/>
  <c r="L84" i="15" s="1"/>
  <c r="I86" i="15"/>
  <c r="L86" i="15" s="1"/>
  <c r="I90" i="15"/>
  <c r="L90" i="15" s="1"/>
  <c r="H95" i="15"/>
  <c r="K95" i="15" s="1"/>
  <c r="G104" i="15"/>
  <c r="J104" i="15" s="1"/>
  <c r="G119" i="15"/>
  <c r="J119" i="15" s="1"/>
  <c r="I120" i="15"/>
  <c r="L120" i="15" s="1"/>
  <c r="G122" i="15"/>
  <c r="J122" i="15" s="1"/>
  <c r="G127" i="15"/>
  <c r="I129" i="15"/>
  <c r="L129" i="15" s="1"/>
  <c r="H28" i="15"/>
  <c r="K28" i="15" s="1"/>
  <c r="I30" i="15"/>
  <c r="L30" i="15" s="1"/>
  <c r="H32" i="15"/>
  <c r="K32" i="15" s="1"/>
  <c r="I36" i="15"/>
  <c r="L36" i="15" s="1"/>
  <c r="H53" i="15"/>
  <c r="K53" i="15" s="1"/>
  <c r="I56" i="15"/>
  <c r="L56" i="15" s="1"/>
  <c r="H62" i="15"/>
  <c r="K62" i="15" s="1"/>
  <c r="I64" i="15"/>
  <c r="L64" i="15" s="1"/>
  <c r="H74" i="15"/>
  <c r="K74" i="15" s="1"/>
  <c r="H85" i="15"/>
  <c r="K85" i="15" s="1"/>
  <c r="H91" i="15"/>
  <c r="K91" i="15" s="1"/>
  <c r="H102" i="15"/>
  <c r="K102" i="15" s="1"/>
  <c r="H116" i="15"/>
  <c r="K116" i="15" s="1"/>
  <c r="I117" i="15"/>
  <c r="L117" i="15" s="1"/>
  <c r="H124" i="15"/>
  <c r="K124" i="15" s="1"/>
  <c r="I125" i="15"/>
  <c r="L125" i="15" s="1"/>
  <c r="H134" i="15"/>
  <c r="K134" i="15" s="1"/>
  <c r="I28" i="15"/>
  <c r="L28" i="15" s="1"/>
  <c r="I32" i="15"/>
  <c r="L32" i="15" s="1"/>
  <c r="I62" i="15"/>
  <c r="L62" i="15" s="1"/>
  <c r="I91" i="15"/>
  <c r="L91" i="15" s="1"/>
  <c r="H100" i="15"/>
  <c r="K100" i="15" s="1"/>
  <c r="I102" i="15"/>
  <c r="L102" i="15" s="1"/>
  <c r="G107" i="15"/>
  <c r="J107" i="15" s="1"/>
  <c r="G110" i="15"/>
  <c r="G112" i="15"/>
  <c r="J112" i="15" s="1"/>
  <c r="H114" i="15"/>
  <c r="K114" i="15" s="1"/>
  <c r="I116" i="15"/>
  <c r="L116" i="15" s="1"/>
  <c r="I119" i="15"/>
  <c r="L119" i="15" s="1"/>
  <c r="I121" i="15"/>
  <c r="L121" i="15" s="1"/>
  <c r="G123" i="15"/>
  <c r="J123" i="15" s="1"/>
  <c r="I124" i="15"/>
  <c r="L124" i="15" s="1"/>
  <c r="G128" i="15"/>
  <c r="J128" i="15" s="1"/>
  <c r="G129" i="15"/>
  <c r="J129" i="15" s="1"/>
  <c r="H138" i="15"/>
  <c r="K138" i="15" s="1"/>
  <c r="I39" i="15"/>
  <c r="L39" i="15" s="1"/>
  <c r="I43" i="15"/>
  <c r="L43" i="15" s="1"/>
  <c r="G53" i="15"/>
  <c r="J53" i="15" s="1"/>
  <c r="H56" i="15"/>
  <c r="K56" i="15" s="1"/>
  <c r="I58" i="15"/>
  <c r="L58" i="15" s="1"/>
  <c r="I67" i="15"/>
  <c r="L67" i="15" s="1"/>
  <c r="I70" i="15"/>
  <c r="L70" i="15" s="1"/>
  <c r="G74" i="15"/>
  <c r="J74" i="15" s="1"/>
  <c r="I82" i="15"/>
  <c r="L82" i="15" s="1"/>
  <c r="G85" i="15"/>
  <c r="J85" i="15" s="1"/>
  <c r="H87" i="15"/>
  <c r="K87" i="15" s="1"/>
  <c r="G116" i="15"/>
  <c r="J116" i="15" s="1"/>
  <c r="G117" i="15"/>
  <c r="J117" i="15" s="1"/>
  <c r="G125" i="15"/>
  <c r="J125" i="15" s="1"/>
  <c r="H136" i="15"/>
  <c r="K136" i="15" s="1"/>
  <c r="G84" i="3"/>
  <c r="G85" i="3"/>
  <c r="G109" i="2"/>
  <c r="H109" i="2" s="1"/>
  <c r="R47" i="15"/>
  <c r="S39" i="15"/>
  <c r="G52" i="15"/>
  <c r="J52" i="15" s="1"/>
  <c r="C71" i="15"/>
  <c r="I59" i="15"/>
  <c r="L59" i="15" s="1"/>
  <c r="H59" i="15"/>
  <c r="K59" i="15" s="1"/>
  <c r="G59" i="15"/>
  <c r="J59" i="15" s="1"/>
  <c r="G33" i="15"/>
  <c r="J33" i="15" s="1"/>
  <c r="H41" i="15"/>
  <c r="K41" i="15" s="1"/>
  <c r="H45" i="15"/>
  <c r="K45" i="15" s="1"/>
  <c r="C51" i="15"/>
  <c r="H48" i="15"/>
  <c r="K48" i="15" s="1"/>
  <c r="G50" i="15"/>
  <c r="J50" i="15" s="1"/>
  <c r="H52" i="15"/>
  <c r="K52" i="15" s="1"/>
  <c r="AC71" i="15"/>
  <c r="I55" i="15"/>
  <c r="L55" i="15" s="1"/>
  <c r="H55" i="15"/>
  <c r="K55" i="15" s="1"/>
  <c r="I76" i="15"/>
  <c r="L76" i="15" s="1"/>
  <c r="H76" i="15"/>
  <c r="K76" i="15" s="1"/>
  <c r="G76" i="15"/>
  <c r="J76" i="15" s="1"/>
  <c r="N47" i="15"/>
  <c r="I33" i="15"/>
  <c r="L33" i="15" s="1"/>
  <c r="I41" i="15"/>
  <c r="L41" i="15" s="1"/>
  <c r="I50" i="15"/>
  <c r="L50" i="15" s="1"/>
  <c r="I52" i="15"/>
  <c r="L52" i="15" s="1"/>
  <c r="G55" i="15"/>
  <c r="J55" i="15" s="1"/>
  <c r="I57" i="15"/>
  <c r="L57" i="15" s="1"/>
  <c r="H57" i="15"/>
  <c r="K57" i="15" s="1"/>
  <c r="N97" i="15"/>
  <c r="R78" i="15"/>
  <c r="AD38" i="15"/>
  <c r="Y23" i="15"/>
  <c r="Y26" i="15" s="1"/>
  <c r="Y140" i="15" s="1"/>
  <c r="X140" i="15"/>
  <c r="AF140" i="15"/>
  <c r="G31" i="15"/>
  <c r="J31" i="15" s="1"/>
  <c r="G40" i="15"/>
  <c r="J40" i="15" s="1"/>
  <c r="G44" i="15"/>
  <c r="J44" i="15" s="1"/>
  <c r="I45" i="15"/>
  <c r="L45" i="15" s="1"/>
  <c r="C47" i="15"/>
  <c r="G48" i="15"/>
  <c r="J48" i="15" s="1"/>
  <c r="U140" i="15"/>
  <c r="C38" i="15"/>
  <c r="H27" i="15"/>
  <c r="K27" i="15" s="1"/>
  <c r="G29" i="15"/>
  <c r="J29" i="15" s="1"/>
  <c r="I31" i="15"/>
  <c r="L31" i="15" s="1"/>
  <c r="G37" i="15"/>
  <c r="J37" i="15" s="1"/>
  <c r="H39" i="15"/>
  <c r="K39" i="15" s="1"/>
  <c r="H40" i="15"/>
  <c r="K40" i="15" s="1"/>
  <c r="H43" i="15"/>
  <c r="K43" i="15" s="1"/>
  <c r="H44" i="15"/>
  <c r="K44" i="15" s="1"/>
  <c r="I48" i="15"/>
  <c r="L48" i="15" s="1"/>
  <c r="S48" i="15"/>
  <c r="AD51" i="15"/>
  <c r="H54" i="15"/>
  <c r="K54" i="15" s="1"/>
  <c r="G57" i="15"/>
  <c r="J57" i="15" s="1"/>
  <c r="C97" i="15"/>
  <c r="H78" i="15"/>
  <c r="K78" i="15" s="1"/>
  <c r="G78" i="15"/>
  <c r="J78" i="15" s="1"/>
  <c r="I78" i="15"/>
  <c r="L78" i="15" s="1"/>
  <c r="I69" i="15"/>
  <c r="L69" i="15" s="1"/>
  <c r="H69" i="15"/>
  <c r="K69" i="15" s="1"/>
  <c r="AA71" i="15"/>
  <c r="AA140" i="15" s="1"/>
  <c r="C77" i="15"/>
  <c r="AB60" i="15"/>
  <c r="AB71" i="15" s="1"/>
  <c r="G61" i="15"/>
  <c r="J61" i="15" s="1"/>
  <c r="G63" i="15"/>
  <c r="J63" i="15" s="1"/>
  <c r="G65" i="15"/>
  <c r="J65" i="15" s="1"/>
  <c r="G67" i="15"/>
  <c r="G69" i="15"/>
  <c r="J69" i="15" s="1"/>
  <c r="H73" i="15"/>
  <c r="K73" i="15" s="1"/>
  <c r="G73" i="15"/>
  <c r="J73" i="15" s="1"/>
  <c r="W140" i="15"/>
  <c r="AE140" i="15"/>
  <c r="I73" i="15"/>
  <c r="L73" i="15" s="1"/>
  <c r="H75" i="15"/>
  <c r="K75" i="15" s="1"/>
  <c r="G75" i="15"/>
  <c r="J75" i="15" s="1"/>
  <c r="H94" i="15"/>
  <c r="K94" i="15" s="1"/>
  <c r="G94" i="15"/>
  <c r="J94" i="15" s="1"/>
  <c r="I99" i="15"/>
  <c r="L99" i="15" s="1"/>
  <c r="H99" i="15"/>
  <c r="K99" i="15" s="1"/>
  <c r="S139" i="15"/>
  <c r="T131" i="15"/>
  <c r="T139" i="15" s="1"/>
  <c r="I94" i="15"/>
  <c r="L94" i="15" s="1"/>
  <c r="H96" i="15"/>
  <c r="K96" i="15" s="1"/>
  <c r="G96" i="15"/>
  <c r="J96" i="15" s="1"/>
  <c r="G99" i="15"/>
  <c r="J99" i="15" s="1"/>
  <c r="I101" i="15"/>
  <c r="L101" i="15" s="1"/>
  <c r="H101" i="15"/>
  <c r="K101" i="15" s="1"/>
  <c r="I72" i="15"/>
  <c r="L72" i="15" s="1"/>
  <c r="R72" i="15"/>
  <c r="AD97" i="15"/>
  <c r="G80" i="15"/>
  <c r="J80" i="15" s="1"/>
  <c r="G82" i="15"/>
  <c r="J82" i="15" s="1"/>
  <c r="G84" i="15"/>
  <c r="J84" i="15" s="1"/>
  <c r="G86" i="15"/>
  <c r="J86" i="15" s="1"/>
  <c r="G88" i="15"/>
  <c r="J88" i="15" s="1"/>
  <c r="G90" i="15"/>
  <c r="J90" i="15" s="1"/>
  <c r="G92" i="15"/>
  <c r="J92" i="15" s="1"/>
  <c r="I96" i="15"/>
  <c r="L96" i="15" s="1"/>
  <c r="AC108" i="15"/>
  <c r="G101" i="15"/>
  <c r="J101" i="15" s="1"/>
  <c r="R108" i="15"/>
  <c r="S98" i="15"/>
  <c r="AD108" i="15"/>
  <c r="I103" i="15"/>
  <c r="L103" i="15" s="1"/>
  <c r="H103" i="15"/>
  <c r="K103" i="15" s="1"/>
  <c r="I109" i="15"/>
  <c r="L109" i="15" s="1"/>
  <c r="R109" i="15"/>
  <c r="I111" i="15"/>
  <c r="L111" i="15" s="1"/>
  <c r="I133" i="15"/>
  <c r="L133" i="15" s="1"/>
  <c r="H133" i="15"/>
  <c r="K133" i="15" s="1"/>
  <c r="G133" i="15"/>
  <c r="J133" i="15" s="1"/>
  <c r="I131" i="15"/>
  <c r="L131" i="15" s="1"/>
  <c r="H131" i="15"/>
  <c r="K131" i="15" s="1"/>
  <c r="G131" i="15"/>
  <c r="J131" i="15" s="1"/>
  <c r="H105" i="15"/>
  <c r="K105" i="15" s="1"/>
  <c r="H107" i="15"/>
  <c r="K107" i="15" s="1"/>
  <c r="G109" i="15"/>
  <c r="J109" i="15" s="1"/>
  <c r="G111" i="15"/>
  <c r="J111" i="15" s="1"/>
  <c r="G113" i="15"/>
  <c r="J113" i="15" s="1"/>
  <c r="I114" i="15"/>
  <c r="L114" i="15" s="1"/>
  <c r="AD130" i="15"/>
  <c r="I137" i="15"/>
  <c r="L137" i="15" s="1"/>
  <c r="H137" i="15"/>
  <c r="K137" i="15" s="1"/>
  <c r="G137" i="15"/>
  <c r="J137" i="15" s="1"/>
  <c r="H109" i="15"/>
  <c r="K109" i="15" s="1"/>
  <c r="H113" i="15"/>
  <c r="K113" i="15" s="1"/>
  <c r="I135" i="15"/>
  <c r="L135" i="15" s="1"/>
  <c r="H135" i="15"/>
  <c r="K135" i="15" s="1"/>
  <c r="G135" i="15"/>
  <c r="J135" i="15" s="1"/>
  <c r="N139" i="15"/>
  <c r="I132" i="15"/>
  <c r="L132" i="15" s="1"/>
  <c r="I134" i="15"/>
  <c r="L134" i="15" s="1"/>
  <c r="I136" i="15"/>
  <c r="L136" i="15" s="1"/>
  <c r="I138" i="15"/>
  <c r="L138" i="15" s="1"/>
  <c r="S116" i="15" l="1"/>
  <c r="S52" i="15"/>
  <c r="H84" i="3"/>
  <c r="H91" i="3"/>
  <c r="J67" i="15"/>
  <c r="M67" i="15" s="1"/>
  <c r="Z67" i="15" s="1"/>
  <c r="S27" i="15"/>
  <c r="T27" i="15" s="1"/>
  <c r="T38" i="15" s="1"/>
  <c r="S26" i="15"/>
  <c r="S140" i="15" s="1"/>
  <c r="J110" i="15"/>
  <c r="M110" i="15" s="1"/>
  <c r="Z110" i="15" s="1"/>
  <c r="J83" i="15"/>
  <c r="M83" i="15" s="1"/>
  <c r="Z83" i="15" s="1"/>
  <c r="J127" i="15"/>
  <c r="J130" i="15" s="1"/>
  <c r="J79" i="15"/>
  <c r="M79" i="15" s="1"/>
  <c r="Z79" i="15" s="1"/>
  <c r="AB140" i="15"/>
  <c r="AC140" i="15"/>
  <c r="M129" i="15"/>
  <c r="Z129" i="15" s="1"/>
  <c r="M121" i="15"/>
  <c r="Z121" i="15" s="1"/>
  <c r="M61" i="15"/>
  <c r="Z61" i="15" s="1"/>
  <c r="M60" i="15"/>
  <c r="Z60" i="15" s="1"/>
  <c r="M118" i="15"/>
  <c r="Z118" i="15" s="1"/>
  <c r="M100" i="15"/>
  <c r="Z100" i="15" s="1"/>
  <c r="M90" i="15"/>
  <c r="Z90" i="15" s="1"/>
  <c r="M70" i="15"/>
  <c r="Z70" i="15" s="1"/>
  <c r="M46" i="15"/>
  <c r="Z46" i="15" s="1"/>
  <c r="M35" i="15"/>
  <c r="Z35" i="15" s="1"/>
  <c r="M34" i="15"/>
  <c r="Z34" i="15" s="1"/>
  <c r="M126" i="15"/>
  <c r="Z126" i="15" s="1"/>
  <c r="M68" i="15"/>
  <c r="Z68" i="15" s="1"/>
  <c r="M89" i="15"/>
  <c r="Z89" i="15" s="1"/>
  <c r="M120" i="15"/>
  <c r="Z120" i="15" s="1"/>
  <c r="M92" i="15"/>
  <c r="Z92" i="15" s="1"/>
  <c r="M122" i="15"/>
  <c r="Z122" i="15" s="1"/>
  <c r="M95" i="15"/>
  <c r="Z95" i="15" s="1"/>
  <c r="M106" i="15"/>
  <c r="Z106" i="15" s="1"/>
  <c r="M81" i="15"/>
  <c r="Z81" i="15" s="1"/>
  <c r="M65" i="15"/>
  <c r="Z65" i="15" s="1"/>
  <c r="M86" i="15"/>
  <c r="Z86" i="15" s="1"/>
  <c r="M87" i="15"/>
  <c r="Z87" i="15" s="1"/>
  <c r="M119" i="15"/>
  <c r="Z119" i="15" s="1"/>
  <c r="M125" i="15"/>
  <c r="Z125" i="15" s="1"/>
  <c r="M112" i="15"/>
  <c r="Z112" i="15" s="1"/>
  <c r="M42" i="15"/>
  <c r="Z42" i="15" s="1"/>
  <c r="M132" i="15"/>
  <c r="Z132" i="15" s="1"/>
  <c r="M107" i="15"/>
  <c r="Z107" i="15" s="1"/>
  <c r="M54" i="15"/>
  <c r="Z54" i="15" s="1"/>
  <c r="M37" i="15"/>
  <c r="Z37" i="15" s="1"/>
  <c r="M123" i="15"/>
  <c r="Z123" i="15" s="1"/>
  <c r="M104" i="15"/>
  <c r="Z104" i="15" s="1"/>
  <c r="M66" i="15"/>
  <c r="Z66" i="15" s="1"/>
  <c r="M93" i="15"/>
  <c r="Z93" i="15" s="1"/>
  <c r="M49" i="15"/>
  <c r="Z49" i="15" s="1"/>
  <c r="M128" i="15"/>
  <c r="Z128" i="15" s="1"/>
  <c r="M88" i="15"/>
  <c r="Z88" i="15" s="1"/>
  <c r="M63" i="15"/>
  <c r="Z63" i="15" s="1"/>
  <c r="M29" i="15"/>
  <c r="Z29" i="15" s="1"/>
  <c r="M43" i="15"/>
  <c r="Z43" i="15" s="1"/>
  <c r="M28" i="15"/>
  <c r="Z28" i="15" s="1"/>
  <c r="M62" i="15"/>
  <c r="Z62" i="15" s="1"/>
  <c r="M58" i="15"/>
  <c r="Z58" i="15" s="1"/>
  <c r="M136" i="15"/>
  <c r="Z136" i="15" s="1"/>
  <c r="M84" i="15"/>
  <c r="Z84" i="15" s="1"/>
  <c r="M57" i="15"/>
  <c r="Z57" i="15" s="1"/>
  <c r="M85" i="15"/>
  <c r="Z85" i="15" s="1"/>
  <c r="M102" i="15"/>
  <c r="Z102" i="15" s="1"/>
  <c r="M134" i="15"/>
  <c r="Z134" i="15" s="1"/>
  <c r="M114" i="15"/>
  <c r="Z114" i="15" s="1"/>
  <c r="M105" i="15"/>
  <c r="Z105" i="15" s="1"/>
  <c r="M103" i="15"/>
  <c r="Z103" i="15" s="1"/>
  <c r="M135" i="15"/>
  <c r="Z135" i="15" s="1"/>
  <c r="M82" i="15"/>
  <c r="Z82" i="15" s="1"/>
  <c r="M56" i="15"/>
  <c r="Z56" i="15" s="1"/>
  <c r="M30" i="15"/>
  <c r="Z30" i="15" s="1"/>
  <c r="M69" i="15"/>
  <c r="Z69" i="15" s="1"/>
  <c r="M41" i="15"/>
  <c r="Z41" i="15" s="1"/>
  <c r="M32" i="15"/>
  <c r="Z32" i="15" s="1"/>
  <c r="J38" i="15"/>
  <c r="G130" i="15"/>
  <c r="M74" i="15"/>
  <c r="Z74" i="15" s="1"/>
  <c r="K130" i="15"/>
  <c r="M64" i="15"/>
  <c r="Z64" i="15" s="1"/>
  <c r="M80" i="15"/>
  <c r="Z80" i="15" s="1"/>
  <c r="L47" i="15"/>
  <c r="M53" i="15"/>
  <c r="Z53" i="15" s="1"/>
  <c r="M50" i="15"/>
  <c r="Z50" i="15" s="1"/>
  <c r="M91" i="15"/>
  <c r="Z91" i="15" s="1"/>
  <c r="M36" i="15"/>
  <c r="Z36" i="15" s="1"/>
  <c r="M138" i="15"/>
  <c r="Z138" i="15" s="1"/>
  <c r="M124" i="15"/>
  <c r="Z124" i="15" s="1"/>
  <c r="M117" i="15"/>
  <c r="Z117" i="15" s="1"/>
  <c r="H130" i="15"/>
  <c r="L38" i="15"/>
  <c r="G47" i="15"/>
  <c r="M55" i="15"/>
  <c r="Z55" i="15" s="1"/>
  <c r="M76" i="15"/>
  <c r="Z76" i="15" s="1"/>
  <c r="I130" i="15"/>
  <c r="M133" i="15"/>
  <c r="Z133" i="15" s="1"/>
  <c r="L130" i="15"/>
  <c r="M45" i="15"/>
  <c r="Z45" i="15" s="1"/>
  <c r="H85" i="3"/>
  <c r="M113" i="15"/>
  <c r="Z113" i="15" s="1"/>
  <c r="G139" i="15"/>
  <c r="S72" i="15"/>
  <c r="R77" i="15"/>
  <c r="H108" i="15"/>
  <c r="K77" i="15"/>
  <c r="H77" i="15"/>
  <c r="I97" i="15"/>
  <c r="L97" i="15"/>
  <c r="L51" i="15"/>
  <c r="I51" i="15"/>
  <c r="H47" i="15"/>
  <c r="M31" i="15"/>
  <c r="Z31" i="15" s="1"/>
  <c r="T52" i="15"/>
  <c r="T71" i="15" s="1"/>
  <c r="S71" i="15"/>
  <c r="H51" i="15"/>
  <c r="K51" i="15"/>
  <c r="M59" i="15"/>
  <c r="Z59" i="15" s="1"/>
  <c r="G71" i="15"/>
  <c r="S47" i="15"/>
  <c r="T39" i="15"/>
  <c r="T47" i="15" s="1"/>
  <c r="S51" i="15"/>
  <c r="T48" i="15"/>
  <c r="T51" i="15" s="1"/>
  <c r="J108" i="15"/>
  <c r="M98" i="15"/>
  <c r="Z98" i="15" s="1"/>
  <c r="M99" i="15"/>
  <c r="Z99" i="15" s="1"/>
  <c r="K108" i="15"/>
  <c r="J77" i="15"/>
  <c r="I38" i="15"/>
  <c r="H38" i="15"/>
  <c r="M44" i="15"/>
  <c r="Z44" i="15" s="1"/>
  <c r="I71" i="15"/>
  <c r="L71" i="15"/>
  <c r="G38" i="15"/>
  <c r="I47" i="15"/>
  <c r="R97" i="15"/>
  <c r="S78" i="15"/>
  <c r="K115" i="15"/>
  <c r="H115" i="15"/>
  <c r="R115" i="15"/>
  <c r="S109" i="15"/>
  <c r="M101" i="15"/>
  <c r="Z101" i="15" s="1"/>
  <c r="M137" i="15"/>
  <c r="Z137" i="15" s="1"/>
  <c r="M111" i="15"/>
  <c r="Z111" i="15" s="1"/>
  <c r="H139" i="15"/>
  <c r="K139" i="15"/>
  <c r="S130" i="15"/>
  <c r="T116" i="15"/>
  <c r="T130" i="15" s="1"/>
  <c r="M116" i="15"/>
  <c r="Z116" i="15" s="1"/>
  <c r="I115" i="15"/>
  <c r="L115" i="15"/>
  <c r="G108" i="15"/>
  <c r="I77" i="15"/>
  <c r="L77" i="15"/>
  <c r="I108" i="15"/>
  <c r="G97" i="15"/>
  <c r="G115" i="15"/>
  <c r="I139" i="15"/>
  <c r="L139" i="15"/>
  <c r="S108" i="15"/>
  <c r="T98" i="15"/>
  <c r="T108" i="15" s="1"/>
  <c r="L108" i="15"/>
  <c r="M96" i="15"/>
  <c r="Z96" i="15" s="1"/>
  <c r="M94" i="15"/>
  <c r="Z94" i="15" s="1"/>
  <c r="M75" i="15"/>
  <c r="Z75" i="15" s="1"/>
  <c r="G77" i="15"/>
  <c r="H97" i="15"/>
  <c r="K97" i="15"/>
  <c r="G51" i="15"/>
  <c r="M40" i="15"/>
  <c r="Z40" i="15" s="1"/>
  <c r="H71" i="15"/>
  <c r="K71" i="15"/>
  <c r="J47" i="15"/>
  <c r="M33" i="15"/>
  <c r="Z33" i="15" s="1"/>
  <c r="S38" i="15" l="1"/>
  <c r="M127" i="15"/>
  <c r="Z127" i="15" s="1"/>
  <c r="Z130" i="15" s="1"/>
  <c r="M73" i="15"/>
  <c r="Z73" i="15" s="1"/>
  <c r="M72" i="15"/>
  <c r="Z72" i="15" s="1"/>
  <c r="J97" i="15"/>
  <c r="M78" i="15"/>
  <c r="Z78" i="15" s="1"/>
  <c r="M108" i="15"/>
  <c r="Z108" i="15"/>
  <c r="J71" i="15"/>
  <c r="M52" i="15"/>
  <c r="Z52" i="15" s="1"/>
  <c r="J51" i="15"/>
  <c r="M48" i="15"/>
  <c r="Z48" i="15" s="1"/>
  <c r="S115" i="15"/>
  <c r="T109" i="15"/>
  <c r="T115" i="15" s="1"/>
  <c r="K47" i="15"/>
  <c r="M39" i="15"/>
  <c r="Z39" i="15" s="1"/>
  <c r="K38" i="15"/>
  <c r="M27" i="15"/>
  <c r="Z27" i="15" s="1"/>
  <c r="S77" i="15"/>
  <c r="T72" i="15"/>
  <c r="T77" i="15" s="1"/>
  <c r="J115" i="15"/>
  <c r="M109" i="15"/>
  <c r="Z109" i="15" s="1"/>
  <c r="T78" i="15"/>
  <c r="T97" i="15" s="1"/>
  <c r="S97" i="15"/>
  <c r="M131" i="15"/>
  <c r="Z131" i="15" s="1"/>
  <c r="J139" i="15"/>
  <c r="M130" i="15" l="1"/>
  <c r="M77" i="15"/>
  <c r="Z77" i="15"/>
  <c r="M115" i="15"/>
  <c r="Z115" i="15"/>
  <c r="Z38" i="15"/>
  <c r="M38" i="15"/>
  <c r="M71" i="15"/>
  <c r="Z71" i="15"/>
  <c r="M139" i="15"/>
  <c r="Z139" i="15"/>
  <c r="M97" i="15"/>
  <c r="Z97" i="15"/>
  <c r="M47" i="15"/>
  <c r="Z47" i="15"/>
  <c r="Z51" i="15"/>
  <c r="M51" i="15"/>
  <c r="G172" i="1" l="1"/>
  <c r="G149" i="2"/>
  <c r="H149" i="2" s="1"/>
  <c r="G123" i="3"/>
  <c r="G83" i="4"/>
  <c r="H83" i="4" s="1"/>
  <c r="G210" i="5"/>
  <c r="G97" i="6"/>
  <c r="H97" i="6" s="1"/>
  <c r="G211" i="7"/>
  <c r="H211" i="7" s="1"/>
  <c r="G138" i="8"/>
  <c r="G105" i="9"/>
  <c r="H105" i="9" s="1"/>
  <c r="G123" i="19"/>
  <c r="G64" i="4"/>
  <c r="H64" i="4" s="1"/>
  <c r="G62" i="4"/>
  <c r="H62" i="4" s="1"/>
  <c r="H172" i="1" l="1"/>
  <c r="I172" i="1"/>
  <c r="I174" i="1" s="1"/>
  <c r="H123" i="3"/>
  <c r="H138" i="8"/>
  <c r="H123" i="19"/>
  <c r="H210" i="5"/>
  <c r="G317" i="7" l="1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0" i="7"/>
  <c r="H290" i="7" s="1"/>
  <c r="G289" i="7"/>
  <c r="H289" i="7" s="1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6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0" i="7"/>
  <c r="H210" i="7" s="1"/>
  <c r="G209" i="7"/>
  <c r="G208" i="7"/>
  <c r="G206" i="7"/>
  <c r="G205" i="7"/>
  <c r="G204" i="7"/>
  <c r="G203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59" i="7"/>
  <c r="G158" i="7"/>
  <c r="G154" i="7"/>
  <c r="G153" i="7"/>
  <c r="G152" i="7"/>
  <c r="G151" i="7"/>
  <c r="G150" i="7"/>
  <c r="G149" i="7"/>
  <c r="G148" i="7"/>
  <c r="G147" i="7"/>
  <c r="G146" i="7"/>
  <c r="G143" i="7"/>
  <c r="G140" i="7"/>
  <c r="G139" i="7"/>
  <c r="G138" i="7"/>
  <c r="G136" i="7"/>
  <c r="G133" i="7"/>
  <c r="G132" i="7"/>
  <c r="G131" i="7"/>
  <c r="G129" i="7"/>
  <c r="G126" i="7"/>
  <c r="G125" i="7"/>
  <c r="G124" i="7"/>
  <c r="G122" i="7"/>
  <c r="G119" i="7"/>
  <c r="I119" i="7" s="1"/>
  <c r="G118" i="7"/>
  <c r="I118" i="7" s="1"/>
  <c r="G117" i="7"/>
  <c r="I117" i="7" s="1"/>
  <c r="G115" i="7"/>
  <c r="G112" i="7"/>
  <c r="I112" i="7" s="1"/>
  <c r="G111" i="7"/>
  <c r="I111" i="7" s="1"/>
  <c r="G110" i="7"/>
  <c r="I110" i="7" s="1"/>
  <c r="G108" i="7"/>
  <c r="G105" i="7"/>
  <c r="I105" i="7" s="1"/>
  <c r="G104" i="7"/>
  <c r="I104" i="7" s="1"/>
  <c r="G103" i="7"/>
  <c r="I103" i="7" s="1"/>
  <c r="G101" i="7"/>
  <c r="G98" i="7"/>
  <c r="I98" i="7" s="1"/>
  <c r="G97" i="7"/>
  <c r="I97" i="7" s="1"/>
  <c r="G96" i="7"/>
  <c r="I96" i="7" s="1"/>
  <c r="G94" i="7"/>
  <c r="G91" i="7"/>
  <c r="I91" i="7" s="1"/>
  <c r="G90" i="7"/>
  <c r="I90" i="7" s="1"/>
  <c r="G89" i="7"/>
  <c r="I89" i="7" s="1"/>
  <c r="G87" i="7"/>
  <c r="G84" i="7"/>
  <c r="G83" i="7"/>
  <c r="G82" i="7"/>
  <c r="G80" i="7"/>
  <c r="G77" i="7"/>
  <c r="G76" i="7"/>
  <c r="G75" i="7"/>
  <c r="G73" i="7"/>
  <c r="G70" i="7"/>
  <c r="G69" i="7"/>
  <c r="G68" i="7"/>
  <c r="G66" i="7"/>
  <c r="G63" i="7"/>
  <c r="G62" i="7"/>
  <c r="G61" i="7"/>
  <c r="G59" i="7"/>
  <c r="K59" i="7" s="1"/>
  <c r="G56" i="7"/>
  <c r="G55" i="7"/>
  <c r="G54" i="7"/>
  <c r="G52" i="7"/>
  <c r="G48" i="7"/>
  <c r="G47" i="7"/>
  <c r="G46" i="7"/>
  <c r="G44" i="7"/>
  <c r="G41" i="7"/>
  <c r="G40" i="7"/>
  <c r="G39" i="7"/>
  <c r="G37" i="7"/>
  <c r="G34" i="7"/>
  <c r="G33" i="7"/>
  <c r="G32" i="7"/>
  <c r="G30" i="7"/>
  <c r="H27" i="7"/>
  <c r="G26" i="7"/>
  <c r="G25" i="7"/>
  <c r="G23" i="7"/>
  <c r="G20" i="7"/>
  <c r="G19" i="7"/>
  <c r="G18" i="7"/>
  <c r="G16" i="7"/>
  <c r="G13" i="7"/>
  <c r="G12" i="7"/>
  <c r="G11" i="7"/>
  <c r="G193" i="5"/>
  <c r="G194" i="5"/>
  <c r="G195" i="5"/>
  <c r="G196" i="5"/>
  <c r="G197" i="5"/>
  <c r="G228" i="5"/>
  <c r="G229" i="5"/>
  <c r="G230" i="5"/>
  <c r="G231" i="5"/>
  <c r="G232" i="5"/>
  <c r="G252" i="5"/>
  <c r="G253" i="5"/>
  <c r="G254" i="5"/>
  <c r="G255" i="5"/>
  <c r="G256" i="5"/>
  <c r="G276" i="5"/>
  <c r="G277" i="5"/>
  <c r="G278" i="5"/>
  <c r="G279" i="5"/>
  <c r="G280" i="5"/>
  <c r="G308" i="5"/>
  <c r="G309" i="5"/>
  <c r="G310" i="5"/>
  <c r="G311" i="5"/>
  <c r="G312" i="5"/>
  <c r="G142" i="5"/>
  <c r="G139" i="5"/>
  <c r="G138" i="5"/>
  <c r="G137" i="5"/>
  <c r="G135" i="5"/>
  <c r="G132" i="5"/>
  <c r="G131" i="5"/>
  <c r="G130" i="5"/>
  <c r="G128" i="5"/>
  <c r="H125" i="5"/>
  <c r="G124" i="5"/>
  <c r="G123" i="5"/>
  <c r="G121" i="5"/>
  <c r="G118" i="5"/>
  <c r="G117" i="5"/>
  <c r="G116" i="5"/>
  <c r="G107" i="5"/>
  <c r="G104" i="5"/>
  <c r="G103" i="5"/>
  <c r="G102" i="5"/>
  <c r="K124" i="7" l="1"/>
  <c r="I124" i="7"/>
  <c r="I125" i="7"/>
  <c r="K125" i="7"/>
  <c r="H209" i="7"/>
  <c r="K209" i="7"/>
  <c r="I209" i="7"/>
  <c r="K152" i="7"/>
  <c r="I152" i="7"/>
  <c r="H73" i="7"/>
  <c r="I73" i="7"/>
  <c r="K73" i="7"/>
  <c r="H87" i="7"/>
  <c r="K87" i="7"/>
  <c r="I87" i="7"/>
  <c r="H101" i="7"/>
  <c r="K101" i="7"/>
  <c r="I101" i="7"/>
  <c r="I102" i="7" s="1"/>
  <c r="H115" i="7"/>
  <c r="I115" i="7"/>
  <c r="I116" i="7" s="1"/>
  <c r="K115" i="7"/>
  <c r="H129" i="7"/>
  <c r="K129" i="7"/>
  <c r="I129" i="7"/>
  <c r="I143" i="7"/>
  <c r="K143" i="7"/>
  <c r="I153" i="7"/>
  <c r="K153" i="7"/>
  <c r="I150" i="7"/>
  <c r="K150" i="7"/>
  <c r="K126" i="7"/>
  <c r="I126" i="7"/>
  <c r="K146" i="7"/>
  <c r="I146" i="7"/>
  <c r="K154" i="7"/>
  <c r="I154" i="7"/>
  <c r="K259" i="7"/>
  <c r="I259" i="7"/>
  <c r="K151" i="7"/>
  <c r="I151" i="7"/>
  <c r="I132" i="7"/>
  <c r="K132" i="7"/>
  <c r="I147" i="7"/>
  <c r="K147" i="7"/>
  <c r="H158" i="7"/>
  <c r="K158" i="7"/>
  <c r="I158" i="7"/>
  <c r="I177" i="7" s="1"/>
  <c r="K131" i="7"/>
  <c r="I131" i="7"/>
  <c r="K133" i="7"/>
  <c r="I133" i="7"/>
  <c r="K148" i="7"/>
  <c r="I148" i="7"/>
  <c r="I138" i="7"/>
  <c r="K138" i="7"/>
  <c r="K139" i="7"/>
  <c r="I139" i="7"/>
  <c r="K140" i="7"/>
  <c r="I140" i="7"/>
  <c r="H66" i="7"/>
  <c r="K66" i="7"/>
  <c r="I66" i="7"/>
  <c r="H80" i="7"/>
  <c r="I80" i="7"/>
  <c r="K80" i="7"/>
  <c r="H94" i="7"/>
  <c r="K94" i="7"/>
  <c r="I94" i="7"/>
  <c r="I95" i="7" s="1"/>
  <c r="H108" i="7"/>
  <c r="K108" i="7"/>
  <c r="I108" i="7"/>
  <c r="I109" i="7" s="1"/>
  <c r="H122" i="7"/>
  <c r="I122" i="7"/>
  <c r="I123" i="7" s="1"/>
  <c r="K122" i="7"/>
  <c r="H136" i="7"/>
  <c r="K136" i="7"/>
  <c r="I136" i="7"/>
  <c r="K149" i="7"/>
  <c r="I149" i="7"/>
  <c r="H236" i="7"/>
  <c r="K236" i="7"/>
  <c r="I236" i="7"/>
  <c r="H317" i="7"/>
  <c r="I317" i="7"/>
  <c r="H11" i="7"/>
  <c r="H17" i="7" s="1"/>
  <c r="K11" i="7"/>
  <c r="I11" i="7"/>
  <c r="H18" i="7"/>
  <c r="I18" i="7"/>
  <c r="K18" i="7"/>
  <c r="I25" i="7"/>
  <c r="K25" i="7"/>
  <c r="I32" i="7"/>
  <c r="K32" i="7"/>
  <c r="K39" i="7"/>
  <c r="I39" i="7"/>
  <c r="I46" i="7"/>
  <c r="K46" i="7"/>
  <c r="I54" i="7"/>
  <c r="K54" i="7"/>
  <c r="K61" i="7"/>
  <c r="I61" i="7"/>
  <c r="I68" i="7"/>
  <c r="K68" i="7"/>
  <c r="K75" i="7"/>
  <c r="I75" i="7"/>
  <c r="I81" i="7" s="1"/>
  <c r="I82" i="7"/>
  <c r="I88" i="7" s="1"/>
  <c r="K82" i="7"/>
  <c r="K89" i="7"/>
  <c r="K96" i="7"/>
  <c r="K103" i="7"/>
  <c r="K110" i="7"/>
  <c r="K117" i="7"/>
  <c r="H146" i="7"/>
  <c r="H150" i="7"/>
  <c r="H154" i="7"/>
  <c r="H181" i="7"/>
  <c r="K181" i="7"/>
  <c r="I181" i="7"/>
  <c r="H185" i="7"/>
  <c r="K185" i="7"/>
  <c r="I185" i="7"/>
  <c r="H189" i="7"/>
  <c r="K189" i="7"/>
  <c r="I189" i="7"/>
  <c r="H193" i="7"/>
  <c r="K193" i="7"/>
  <c r="I193" i="7"/>
  <c r="H197" i="7"/>
  <c r="K197" i="7"/>
  <c r="I197" i="7"/>
  <c r="H203" i="7"/>
  <c r="I203" i="7"/>
  <c r="K203" i="7"/>
  <c r="H208" i="7"/>
  <c r="K208" i="7"/>
  <c r="I208" i="7"/>
  <c r="H216" i="7"/>
  <c r="K216" i="7"/>
  <c r="I216" i="7"/>
  <c r="H220" i="7"/>
  <c r="K220" i="7"/>
  <c r="I220" i="7"/>
  <c r="H224" i="7"/>
  <c r="K224" i="7"/>
  <c r="I224" i="7"/>
  <c r="H228" i="7"/>
  <c r="K228" i="7"/>
  <c r="I228" i="7"/>
  <c r="H232" i="7"/>
  <c r="K232" i="7"/>
  <c r="I232" i="7"/>
  <c r="H239" i="7"/>
  <c r="K239" i="7"/>
  <c r="I239" i="7"/>
  <c r="H243" i="7"/>
  <c r="K243" i="7"/>
  <c r="I243" i="7"/>
  <c r="H247" i="7"/>
  <c r="K247" i="7"/>
  <c r="I247" i="7"/>
  <c r="H251" i="7"/>
  <c r="K251" i="7"/>
  <c r="I251" i="7"/>
  <c r="H255" i="7"/>
  <c r="K255" i="7"/>
  <c r="I255" i="7"/>
  <c r="H266" i="7"/>
  <c r="K266" i="7"/>
  <c r="I266" i="7"/>
  <c r="H270" i="7"/>
  <c r="K270" i="7"/>
  <c r="I270" i="7"/>
  <c r="H274" i="7"/>
  <c r="K274" i="7"/>
  <c r="I274" i="7"/>
  <c r="H278" i="7"/>
  <c r="K278" i="7"/>
  <c r="I278" i="7"/>
  <c r="H282" i="7"/>
  <c r="K282" i="7"/>
  <c r="I282" i="7"/>
  <c r="H286" i="7"/>
  <c r="I286" i="7"/>
  <c r="K286" i="7"/>
  <c r="H298" i="7"/>
  <c r="K298" i="7"/>
  <c r="I298" i="7"/>
  <c r="H302" i="7"/>
  <c r="K302" i="7"/>
  <c r="I302" i="7"/>
  <c r="H306" i="7"/>
  <c r="K306" i="7"/>
  <c r="I306" i="7"/>
  <c r="H310" i="7"/>
  <c r="K310" i="7"/>
  <c r="I310" i="7"/>
  <c r="H314" i="7"/>
  <c r="K314" i="7"/>
  <c r="I314" i="7"/>
  <c r="H12" i="7"/>
  <c r="I12" i="7"/>
  <c r="K12" i="7"/>
  <c r="H19" i="7"/>
  <c r="K19" i="7"/>
  <c r="I19" i="7"/>
  <c r="H26" i="7"/>
  <c r="K26" i="7"/>
  <c r="I26" i="7"/>
  <c r="H33" i="7"/>
  <c r="I33" i="7"/>
  <c r="K33" i="7"/>
  <c r="H40" i="7"/>
  <c r="K40" i="7"/>
  <c r="I40" i="7"/>
  <c r="H47" i="7"/>
  <c r="K47" i="7"/>
  <c r="I47" i="7"/>
  <c r="H55" i="7"/>
  <c r="K55" i="7"/>
  <c r="I55" i="7"/>
  <c r="H62" i="7"/>
  <c r="I62" i="7"/>
  <c r="K62" i="7"/>
  <c r="H69" i="7"/>
  <c r="K69" i="7"/>
  <c r="I69" i="7"/>
  <c r="H76" i="7"/>
  <c r="I76" i="7"/>
  <c r="K76" i="7"/>
  <c r="H83" i="7"/>
  <c r="K83" i="7"/>
  <c r="I83" i="7"/>
  <c r="H90" i="7"/>
  <c r="K90" i="7"/>
  <c r="H97" i="7"/>
  <c r="K97" i="7"/>
  <c r="H104" i="7"/>
  <c r="K104" i="7"/>
  <c r="H111" i="7"/>
  <c r="K111" i="7"/>
  <c r="H118" i="7"/>
  <c r="K118" i="7"/>
  <c r="H125" i="7"/>
  <c r="H132" i="7"/>
  <c r="H139" i="7"/>
  <c r="H147" i="7"/>
  <c r="H151" i="7"/>
  <c r="H182" i="7"/>
  <c r="I182" i="7"/>
  <c r="K182" i="7"/>
  <c r="H186" i="7"/>
  <c r="K186" i="7"/>
  <c r="I186" i="7"/>
  <c r="H190" i="7"/>
  <c r="I190" i="7"/>
  <c r="K190" i="7"/>
  <c r="H194" i="7"/>
  <c r="K194" i="7"/>
  <c r="I194" i="7"/>
  <c r="H198" i="7"/>
  <c r="I198" i="7"/>
  <c r="K198" i="7"/>
  <c r="H204" i="7"/>
  <c r="K204" i="7"/>
  <c r="I204" i="7"/>
  <c r="H217" i="7"/>
  <c r="K217" i="7"/>
  <c r="I217" i="7"/>
  <c r="H221" i="7"/>
  <c r="K221" i="7"/>
  <c r="I221" i="7"/>
  <c r="H225" i="7"/>
  <c r="K225" i="7"/>
  <c r="I225" i="7"/>
  <c r="H229" i="7"/>
  <c r="K229" i="7"/>
  <c r="I229" i="7"/>
  <c r="H233" i="7"/>
  <c r="K233" i="7"/>
  <c r="I233" i="7"/>
  <c r="H240" i="7"/>
  <c r="I240" i="7"/>
  <c r="K240" i="7"/>
  <c r="H244" i="7"/>
  <c r="I244" i="7"/>
  <c r="K244" i="7"/>
  <c r="H248" i="7"/>
  <c r="I248" i="7"/>
  <c r="K248" i="7"/>
  <c r="H252" i="7"/>
  <c r="I252" i="7"/>
  <c r="K252" i="7"/>
  <c r="H256" i="7"/>
  <c r="I256" i="7"/>
  <c r="K256" i="7"/>
  <c r="I263" i="7"/>
  <c r="K263" i="7"/>
  <c r="H267" i="7"/>
  <c r="I267" i="7"/>
  <c r="K267" i="7"/>
  <c r="H271" i="7"/>
  <c r="I271" i="7"/>
  <c r="K271" i="7"/>
  <c r="H275" i="7"/>
  <c r="I275" i="7"/>
  <c r="K275" i="7"/>
  <c r="H279" i="7"/>
  <c r="I279" i="7"/>
  <c r="K279" i="7"/>
  <c r="H283" i="7"/>
  <c r="I283" i="7"/>
  <c r="K283" i="7"/>
  <c r="H287" i="7"/>
  <c r="I287" i="7"/>
  <c r="K287" i="7"/>
  <c r="H295" i="7"/>
  <c r="I295" i="7"/>
  <c r="K295" i="7"/>
  <c r="H299" i="7"/>
  <c r="I299" i="7"/>
  <c r="K299" i="7"/>
  <c r="H303" i="7"/>
  <c r="I303" i="7"/>
  <c r="K303" i="7"/>
  <c r="H307" i="7"/>
  <c r="I307" i="7"/>
  <c r="K307" i="7"/>
  <c r="H311" i="7"/>
  <c r="I311" i="7"/>
  <c r="K311" i="7"/>
  <c r="H315" i="7"/>
  <c r="I315" i="7"/>
  <c r="H20" i="7"/>
  <c r="K20" i="7"/>
  <c r="I20" i="7"/>
  <c r="H34" i="7"/>
  <c r="K34" i="7"/>
  <c r="I34" i="7"/>
  <c r="H41" i="7"/>
  <c r="I41" i="7"/>
  <c r="K41" i="7"/>
  <c r="H48" i="7"/>
  <c r="K48" i="7"/>
  <c r="I48" i="7"/>
  <c r="H56" i="7"/>
  <c r="K56" i="7"/>
  <c r="I56" i="7"/>
  <c r="H63" i="7"/>
  <c r="I63" i="7"/>
  <c r="K63" i="7"/>
  <c r="H70" i="7"/>
  <c r="K70" i="7"/>
  <c r="I70" i="7"/>
  <c r="H77" i="7"/>
  <c r="I77" i="7"/>
  <c r="K77" i="7"/>
  <c r="H84" i="7"/>
  <c r="K84" i="7"/>
  <c r="I84" i="7"/>
  <c r="H91" i="7"/>
  <c r="K91" i="7"/>
  <c r="H98" i="7"/>
  <c r="K98" i="7"/>
  <c r="H105" i="7"/>
  <c r="K105" i="7"/>
  <c r="H112" i="7"/>
  <c r="K112" i="7"/>
  <c r="H119" i="7"/>
  <c r="K119" i="7"/>
  <c r="H126" i="7"/>
  <c r="H133" i="7"/>
  <c r="H140" i="7"/>
  <c r="H148" i="7"/>
  <c r="H152" i="7"/>
  <c r="H159" i="7"/>
  <c r="H183" i="7"/>
  <c r="I183" i="7"/>
  <c r="K183" i="7"/>
  <c r="H187" i="7"/>
  <c r="I187" i="7"/>
  <c r="K187" i="7"/>
  <c r="H191" i="7"/>
  <c r="I191" i="7"/>
  <c r="K191" i="7"/>
  <c r="H195" i="7"/>
  <c r="I195" i="7"/>
  <c r="K195" i="7"/>
  <c r="H199" i="7"/>
  <c r="I199" i="7"/>
  <c r="K199" i="7"/>
  <c r="K205" i="7"/>
  <c r="I205" i="7"/>
  <c r="H218" i="7"/>
  <c r="I218" i="7"/>
  <c r="K218" i="7"/>
  <c r="H222" i="7"/>
  <c r="I222" i="7"/>
  <c r="K222" i="7"/>
  <c r="H226" i="7"/>
  <c r="I226" i="7"/>
  <c r="K226" i="7"/>
  <c r="H230" i="7"/>
  <c r="I230" i="7"/>
  <c r="K230" i="7"/>
  <c r="H234" i="7"/>
  <c r="I234" i="7"/>
  <c r="K234" i="7"/>
  <c r="H241" i="7"/>
  <c r="I241" i="7"/>
  <c r="K241" i="7"/>
  <c r="H245" i="7"/>
  <c r="I245" i="7"/>
  <c r="K245" i="7"/>
  <c r="H249" i="7"/>
  <c r="I249" i="7"/>
  <c r="K249" i="7"/>
  <c r="H253" i="7"/>
  <c r="I253" i="7"/>
  <c r="K253" i="7"/>
  <c r="H257" i="7"/>
  <c r="I257" i="7"/>
  <c r="K257" i="7"/>
  <c r="H264" i="7"/>
  <c r="I264" i="7"/>
  <c r="K264" i="7"/>
  <c r="H268" i="7"/>
  <c r="I268" i="7"/>
  <c r="K268" i="7"/>
  <c r="H272" i="7"/>
  <c r="I272" i="7"/>
  <c r="K272" i="7"/>
  <c r="H276" i="7"/>
  <c r="I276" i="7"/>
  <c r="K276" i="7"/>
  <c r="H280" i="7"/>
  <c r="I280" i="7"/>
  <c r="K280" i="7"/>
  <c r="H284" i="7"/>
  <c r="K284" i="7"/>
  <c r="I284" i="7"/>
  <c r="H288" i="7"/>
  <c r="K288" i="7"/>
  <c r="I288" i="7"/>
  <c r="H296" i="7"/>
  <c r="I296" i="7"/>
  <c r="K296" i="7"/>
  <c r="H300" i="7"/>
  <c r="I300" i="7"/>
  <c r="K300" i="7"/>
  <c r="H304" i="7"/>
  <c r="I304" i="7"/>
  <c r="K304" i="7"/>
  <c r="H308" i="7"/>
  <c r="I308" i="7"/>
  <c r="K308" i="7"/>
  <c r="H312" i="7"/>
  <c r="I312" i="7"/>
  <c r="K312" i="7"/>
  <c r="H316" i="7"/>
  <c r="I316" i="7"/>
  <c r="H13" i="7"/>
  <c r="I13" i="7"/>
  <c r="K13" i="7"/>
  <c r="H16" i="7"/>
  <c r="K16" i="7"/>
  <c r="I16" i="7"/>
  <c r="H23" i="7"/>
  <c r="I23" i="7"/>
  <c r="K23" i="7"/>
  <c r="H30" i="7"/>
  <c r="K30" i="7"/>
  <c r="I30" i="7"/>
  <c r="H37" i="7"/>
  <c r="I37" i="7"/>
  <c r="K37" i="7"/>
  <c r="H44" i="7"/>
  <c r="K44" i="7"/>
  <c r="I44" i="7"/>
  <c r="H52" i="7"/>
  <c r="K52" i="7"/>
  <c r="I52" i="7"/>
  <c r="H59" i="7"/>
  <c r="I59" i="7"/>
  <c r="H143" i="7"/>
  <c r="H149" i="7"/>
  <c r="H153" i="7"/>
  <c r="H180" i="7"/>
  <c r="K180" i="7"/>
  <c r="I180" i="7"/>
  <c r="H184" i="7"/>
  <c r="I184" i="7"/>
  <c r="K184" i="7"/>
  <c r="H188" i="7"/>
  <c r="K188" i="7"/>
  <c r="I188" i="7"/>
  <c r="H192" i="7"/>
  <c r="I192" i="7"/>
  <c r="K192" i="7"/>
  <c r="H196" i="7"/>
  <c r="K196" i="7"/>
  <c r="I196" i="7"/>
  <c r="H200" i="7"/>
  <c r="I200" i="7"/>
  <c r="K200" i="7"/>
  <c r="H206" i="7"/>
  <c r="I206" i="7"/>
  <c r="K206" i="7"/>
  <c r="H215" i="7"/>
  <c r="I215" i="7"/>
  <c r="K215" i="7"/>
  <c r="H219" i="7"/>
  <c r="I219" i="7"/>
  <c r="K219" i="7"/>
  <c r="H223" i="7"/>
  <c r="I223" i="7"/>
  <c r="K223" i="7"/>
  <c r="H227" i="7"/>
  <c r="I227" i="7"/>
  <c r="K227" i="7"/>
  <c r="H231" i="7"/>
  <c r="I231" i="7"/>
  <c r="K231" i="7"/>
  <c r="H242" i="7"/>
  <c r="K242" i="7"/>
  <c r="I242" i="7"/>
  <c r="H246" i="7"/>
  <c r="K246" i="7"/>
  <c r="I246" i="7"/>
  <c r="H250" i="7"/>
  <c r="K250" i="7"/>
  <c r="I250" i="7"/>
  <c r="H254" i="7"/>
  <c r="K254" i="7"/>
  <c r="I254" i="7"/>
  <c r="H258" i="7"/>
  <c r="K258" i="7"/>
  <c r="I258" i="7"/>
  <c r="H265" i="7"/>
  <c r="K265" i="7"/>
  <c r="I265" i="7"/>
  <c r="H269" i="7"/>
  <c r="K269" i="7"/>
  <c r="I269" i="7"/>
  <c r="H273" i="7"/>
  <c r="K273" i="7"/>
  <c r="I273" i="7"/>
  <c r="H277" i="7"/>
  <c r="K277" i="7"/>
  <c r="I277" i="7"/>
  <c r="H281" i="7"/>
  <c r="K281" i="7"/>
  <c r="I281" i="7"/>
  <c r="H285" i="7"/>
  <c r="K285" i="7"/>
  <c r="I285" i="7"/>
  <c r="H297" i="7"/>
  <c r="K297" i="7"/>
  <c r="I297" i="7"/>
  <c r="H301" i="7"/>
  <c r="K301" i="7"/>
  <c r="I301" i="7"/>
  <c r="H305" i="7"/>
  <c r="K305" i="7"/>
  <c r="I305" i="7"/>
  <c r="H309" i="7"/>
  <c r="K309" i="7"/>
  <c r="I309" i="7"/>
  <c r="H313" i="7"/>
  <c r="K313" i="7"/>
  <c r="I313" i="7"/>
  <c r="H103" i="5"/>
  <c r="K103" i="5"/>
  <c r="I103" i="5"/>
  <c r="H124" i="5"/>
  <c r="K124" i="5"/>
  <c r="I124" i="5"/>
  <c r="H138" i="5"/>
  <c r="I138" i="5"/>
  <c r="K138" i="5"/>
  <c r="H280" i="5"/>
  <c r="I280" i="5"/>
  <c r="K280" i="5"/>
  <c r="H253" i="5"/>
  <c r="I253" i="5"/>
  <c r="K253" i="5"/>
  <c r="H196" i="5"/>
  <c r="K196" i="5"/>
  <c r="I196" i="5"/>
  <c r="H104" i="5"/>
  <c r="K104" i="5"/>
  <c r="I104" i="5"/>
  <c r="H118" i="5"/>
  <c r="K118" i="5"/>
  <c r="I118" i="5"/>
  <c r="H132" i="5"/>
  <c r="K132" i="5"/>
  <c r="I132" i="5"/>
  <c r="H310" i="5"/>
  <c r="K310" i="5"/>
  <c r="I310" i="5"/>
  <c r="H256" i="5"/>
  <c r="I256" i="5"/>
  <c r="K256" i="5"/>
  <c r="H229" i="5"/>
  <c r="K229" i="5"/>
  <c r="I229" i="5"/>
  <c r="I107" i="5"/>
  <c r="K107" i="5"/>
  <c r="H121" i="5"/>
  <c r="K121" i="5"/>
  <c r="I121" i="5"/>
  <c r="H128" i="5"/>
  <c r="I128" i="5"/>
  <c r="K128" i="5"/>
  <c r="H135" i="5"/>
  <c r="K135" i="5"/>
  <c r="I135" i="5"/>
  <c r="H142" i="5"/>
  <c r="I142" i="5"/>
  <c r="K142" i="5"/>
  <c r="H309" i="5"/>
  <c r="I309" i="5"/>
  <c r="K309" i="5"/>
  <c r="H278" i="5"/>
  <c r="K278" i="5"/>
  <c r="I278" i="5"/>
  <c r="H255" i="5"/>
  <c r="K255" i="5"/>
  <c r="I255" i="5"/>
  <c r="H232" i="5"/>
  <c r="K232" i="5"/>
  <c r="I232" i="5"/>
  <c r="H228" i="5"/>
  <c r="K228" i="5"/>
  <c r="I228" i="5"/>
  <c r="H194" i="5"/>
  <c r="I194" i="5"/>
  <c r="K194" i="5"/>
  <c r="H117" i="5"/>
  <c r="I117" i="5"/>
  <c r="K117" i="5"/>
  <c r="H131" i="5"/>
  <c r="K131" i="5"/>
  <c r="I131" i="5"/>
  <c r="H311" i="5"/>
  <c r="K311" i="5"/>
  <c r="I311" i="5"/>
  <c r="H276" i="5"/>
  <c r="I276" i="5"/>
  <c r="K276" i="5"/>
  <c r="H230" i="5"/>
  <c r="I230" i="5"/>
  <c r="K230" i="5"/>
  <c r="H139" i="5"/>
  <c r="I139" i="5"/>
  <c r="K139" i="5"/>
  <c r="H279" i="5"/>
  <c r="I279" i="5"/>
  <c r="K279" i="5"/>
  <c r="H252" i="5"/>
  <c r="I252" i="5"/>
  <c r="K252" i="5"/>
  <c r="H195" i="5"/>
  <c r="K195" i="5"/>
  <c r="I195" i="5"/>
  <c r="H102" i="5"/>
  <c r="K102" i="5"/>
  <c r="I102" i="5"/>
  <c r="I116" i="5"/>
  <c r="K116" i="5"/>
  <c r="K123" i="5"/>
  <c r="I123" i="5"/>
  <c r="I130" i="5"/>
  <c r="I136" i="5" s="1"/>
  <c r="K130" i="5"/>
  <c r="K137" i="5"/>
  <c r="I137" i="5"/>
  <c r="H312" i="5"/>
  <c r="I312" i="5"/>
  <c r="K312" i="5"/>
  <c r="H308" i="5"/>
  <c r="I308" i="5"/>
  <c r="K308" i="5"/>
  <c r="H277" i="5"/>
  <c r="K277" i="5"/>
  <c r="I277" i="5"/>
  <c r="H254" i="5"/>
  <c r="K254" i="5"/>
  <c r="I254" i="5"/>
  <c r="H231" i="5"/>
  <c r="I231" i="5"/>
  <c r="K231" i="5"/>
  <c r="H197" i="5"/>
  <c r="I197" i="5"/>
  <c r="K197" i="5"/>
  <c r="H193" i="5"/>
  <c r="I193" i="5"/>
  <c r="K193" i="5"/>
  <c r="H205" i="7"/>
  <c r="G213" i="7"/>
  <c r="H259" i="7"/>
  <c r="G260" i="7"/>
  <c r="G108" i="5"/>
  <c r="H107" i="5"/>
  <c r="H263" i="7"/>
  <c r="G292" i="7"/>
  <c r="H137" i="5"/>
  <c r="G143" i="5"/>
  <c r="H116" i="5"/>
  <c r="G122" i="5"/>
  <c r="H123" i="5"/>
  <c r="G129" i="5"/>
  <c r="H130" i="5"/>
  <c r="G136" i="5"/>
  <c r="G177" i="7"/>
  <c r="H24" i="7"/>
  <c r="G31" i="7"/>
  <c r="H25" i="7"/>
  <c r="H31" i="7" s="1"/>
  <c r="G38" i="7"/>
  <c r="H32" i="7"/>
  <c r="G45" i="7"/>
  <c r="H39" i="7"/>
  <c r="H45" i="7" s="1"/>
  <c r="G53" i="7"/>
  <c r="H46" i="7"/>
  <c r="G60" i="7"/>
  <c r="H54" i="7"/>
  <c r="G67" i="7"/>
  <c r="H61" i="7"/>
  <c r="G74" i="7"/>
  <c r="H68" i="7"/>
  <c r="G81" i="7"/>
  <c r="H75" i="7"/>
  <c r="G88" i="7"/>
  <c r="H82" i="7"/>
  <c r="G95" i="7"/>
  <c r="H89" i="7"/>
  <c r="G102" i="7"/>
  <c r="H96" i="7"/>
  <c r="G109" i="7"/>
  <c r="H103" i="7"/>
  <c r="G116" i="7"/>
  <c r="H110" i="7"/>
  <c r="H116" i="7" s="1"/>
  <c r="G123" i="7"/>
  <c r="H117" i="7"/>
  <c r="G130" i="7"/>
  <c r="H124" i="7"/>
  <c r="G137" i="7"/>
  <c r="H131" i="7"/>
  <c r="G144" i="7"/>
  <c r="H138" i="7"/>
  <c r="G24" i="7"/>
  <c r="G17" i="7"/>
  <c r="G318" i="7"/>
  <c r="G237" i="7"/>
  <c r="G155" i="7"/>
  <c r="H213" i="7" l="1"/>
  <c r="H88" i="7"/>
  <c r="H129" i="5"/>
  <c r="H237" i="7"/>
  <c r="H74" i="7"/>
  <c r="H155" i="7"/>
  <c r="H144" i="7"/>
  <c r="H67" i="7"/>
  <c r="H109" i="7"/>
  <c r="H318" i="7"/>
  <c r="H60" i="7"/>
  <c r="H292" i="7"/>
  <c r="H177" i="7"/>
  <c r="H137" i="7"/>
  <c r="H81" i="7"/>
  <c r="H53" i="7"/>
  <c r="I292" i="7"/>
  <c r="I137" i="7"/>
  <c r="I260" i="7"/>
  <c r="I213" i="7"/>
  <c r="G329" i="7"/>
  <c r="C9" i="27" s="1"/>
  <c r="I237" i="7"/>
  <c r="I318" i="7"/>
  <c r="I67" i="7"/>
  <c r="I144" i="7"/>
  <c r="I155" i="7"/>
  <c r="H130" i="7"/>
  <c r="H95" i="7"/>
  <c r="H38" i="7"/>
  <c r="I130" i="7"/>
  <c r="H102" i="7"/>
  <c r="I74" i="7"/>
  <c r="H123" i="7"/>
  <c r="I143" i="5"/>
  <c r="H260" i="7"/>
  <c r="I17" i="7"/>
  <c r="I24" i="7"/>
  <c r="I45" i="7"/>
  <c r="I60" i="7"/>
  <c r="I31" i="7"/>
  <c r="I53" i="7"/>
  <c r="I38" i="7"/>
  <c r="H122" i="5"/>
  <c r="H108" i="5"/>
  <c r="I129" i="5"/>
  <c r="I122" i="5"/>
  <c r="H136" i="5"/>
  <c r="H143" i="5"/>
  <c r="I108" i="5"/>
  <c r="G204" i="8"/>
  <c r="D183" i="3"/>
  <c r="D124" i="4"/>
  <c r="I329" i="7" l="1"/>
  <c r="E9" i="27" s="1"/>
  <c r="H329" i="7"/>
  <c r="D9" i="27" s="1"/>
  <c r="K204" i="8"/>
  <c r="I204" i="8"/>
  <c r="H204" i="8"/>
  <c r="C5" i="7"/>
  <c r="G88" i="4"/>
  <c r="G183" i="10"/>
  <c r="G179" i="10"/>
  <c r="G175" i="10"/>
  <c r="G171" i="10"/>
  <c r="G148" i="19"/>
  <c r="G136" i="19"/>
  <c r="G16" i="19"/>
  <c r="G23" i="19"/>
  <c r="G30" i="19"/>
  <c r="G37" i="19"/>
  <c r="G44" i="19"/>
  <c r="G51" i="19"/>
  <c r="G58" i="19"/>
  <c r="G65" i="19"/>
  <c r="G71" i="19"/>
  <c r="G72" i="19"/>
  <c r="G76" i="19"/>
  <c r="G258" i="10"/>
  <c r="H258" i="10" s="1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1" i="10"/>
  <c r="G230" i="10"/>
  <c r="H230" i="10" s="1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5" i="10"/>
  <c r="H205" i="10" s="1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7" i="10"/>
  <c r="G185" i="10"/>
  <c r="G184" i="10"/>
  <c r="G182" i="10"/>
  <c r="G181" i="10"/>
  <c r="G180" i="10"/>
  <c r="G178" i="10"/>
  <c r="G177" i="10"/>
  <c r="G176" i="10"/>
  <c r="G174" i="10"/>
  <c r="G173" i="10"/>
  <c r="G172" i="10"/>
  <c r="G167" i="10"/>
  <c r="H167" i="10" s="1"/>
  <c r="G166" i="10"/>
  <c r="H166" i="10" s="1"/>
  <c r="G165" i="10"/>
  <c r="G163" i="10"/>
  <c r="G162" i="10"/>
  <c r="G161" i="10"/>
  <c r="G160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22" i="10"/>
  <c r="H122" i="10" s="1"/>
  <c r="G121" i="10"/>
  <c r="H121" i="10" s="1"/>
  <c r="G117" i="10"/>
  <c r="G116" i="10"/>
  <c r="G115" i="10"/>
  <c r="G114" i="10"/>
  <c r="G113" i="10"/>
  <c r="G112" i="10"/>
  <c r="G111" i="10"/>
  <c r="G110" i="10"/>
  <c r="G109" i="10"/>
  <c r="G106" i="10"/>
  <c r="G103" i="10"/>
  <c r="G102" i="10"/>
  <c r="G101" i="10"/>
  <c r="G99" i="10"/>
  <c r="G96" i="10"/>
  <c r="G95" i="10"/>
  <c r="G94" i="10"/>
  <c r="G92" i="10"/>
  <c r="G89" i="10"/>
  <c r="G88" i="10"/>
  <c r="G87" i="10"/>
  <c r="G85" i="10"/>
  <c r="G82" i="10"/>
  <c r="G81" i="10"/>
  <c r="G80" i="10"/>
  <c r="G73" i="10"/>
  <c r="G66" i="10"/>
  <c r="G59" i="10"/>
  <c r="G57" i="10"/>
  <c r="G54" i="10"/>
  <c r="G53" i="10"/>
  <c r="G52" i="10"/>
  <c r="G50" i="10"/>
  <c r="G47" i="10"/>
  <c r="G46" i="10"/>
  <c r="G45" i="10"/>
  <c r="G38" i="10"/>
  <c r="G31" i="10"/>
  <c r="G24" i="10"/>
  <c r="G17" i="10"/>
  <c r="G10" i="10"/>
  <c r="G165" i="9"/>
  <c r="G159" i="9"/>
  <c r="G158" i="9"/>
  <c r="G157" i="9"/>
  <c r="G156" i="9"/>
  <c r="G155" i="9"/>
  <c r="G154" i="9"/>
  <c r="G153" i="9"/>
  <c r="G152" i="9"/>
  <c r="G151" i="9"/>
  <c r="G150" i="9"/>
  <c r="G145" i="9"/>
  <c r="H145" i="9" s="1"/>
  <c r="G144" i="9"/>
  <c r="H144" i="9" s="1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27" i="9"/>
  <c r="G126" i="9"/>
  <c r="G125" i="9"/>
  <c r="H124" i="9"/>
  <c r="G123" i="9"/>
  <c r="G122" i="9"/>
  <c r="G121" i="9"/>
  <c r="G120" i="9"/>
  <c r="G117" i="9"/>
  <c r="G115" i="9"/>
  <c r="G114" i="9"/>
  <c r="G113" i="9"/>
  <c r="G112" i="9"/>
  <c r="G111" i="9"/>
  <c r="G110" i="9"/>
  <c r="G109" i="9"/>
  <c r="G104" i="9"/>
  <c r="H104" i="9" s="1"/>
  <c r="G103" i="9"/>
  <c r="H103" i="9" s="1"/>
  <c r="G102" i="9"/>
  <c r="G100" i="9"/>
  <c r="G99" i="9"/>
  <c r="G98" i="9"/>
  <c r="G97" i="9"/>
  <c r="G94" i="9"/>
  <c r="G93" i="9"/>
  <c r="G92" i="9"/>
  <c r="G91" i="9"/>
  <c r="G90" i="9"/>
  <c r="G89" i="9"/>
  <c r="G88" i="9"/>
  <c r="G87" i="9"/>
  <c r="G83" i="9"/>
  <c r="H83" i="9" s="1"/>
  <c r="G82" i="9"/>
  <c r="H82" i="9" s="1"/>
  <c r="G66" i="9"/>
  <c r="H66" i="9" s="1"/>
  <c r="G65" i="9"/>
  <c r="G61" i="9"/>
  <c r="G60" i="9"/>
  <c r="G59" i="9"/>
  <c r="G58" i="9"/>
  <c r="G57" i="9"/>
  <c r="G56" i="9"/>
  <c r="G55" i="9"/>
  <c r="G54" i="9"/>
  <c r="G53" i="9"/>
  <c r="G50" i="9"/>
  <c r="G47" i="9"/>
  <c r="G46" i="9"/>
  <c r="G45" i="9"/>
  <c r="G43" i="9"/>
  <c r="G40" i="9"/>
  <c r="G39" i="9"/>
  <c r="G38" i="9"/>
  <c r="G36" i="9"/>
  <c r="G33" i="9"/>
  <c r="G32" i="9"/>
  <c r="G31" i="9"/>
  <c r="G29" i="9"/>
  <c r="G26" i="9"/>
  <c r="G25" i="9"/>
  <c r="G24" i="9"/>
  <c r="G22" i="9"/>
  <c r="G19" i="9"/>
  <c r="G18" i="9"/>
  <c r="G17" i="9"/>
  <c r="G15" i="9"/>
  <c r="G12" i="9"/>
  <c r="G11" i="9"/>
  <c r="G214" i="8"/>
  <c r="G208" i="8"/>
  <c r="G207" i="8"/>
  <c r="G206" i="8"/>
  <c r="G205" i="8"/>
  <c r="G203" i="8"/>
  <c r="G202" i="8"/>
  <c r="G201" i="8"/>
  <c r="G200" i="8"/>
  <c r="G199" i="8"/>
  <c r="G198" i="8"/>
  <c r="G197" i="8"/>
  <c r="G196" i="8"/>
  <c r="G195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4" i="8"/>
  <c r="G152" i="8"/>
  <c r="G151" i="8"/>
  <c r="G150" i="8"/>
  <c r="G149" i="8"/>
  <c r="G148" i="8"/>
  <c r="G147" i="8"/>
  <c r="G146" i="8"/>
  <c r="G145" i="8"/>
  <c r="G144" i="8"/>
  <c r="G143" i="8"/>
  <c r="G142" i="8"/>
  <c r="G137" i="8"/>
  <c r="G136" i="8"/>
  <c r="G135" i="8"/>
  <c r="G133" i="8"/>
  <c r="G132" i="8"/>
  <c r="G131" i="8"/>
  <c r="G130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2" i="8"/>
  <c r="H112" i="8" s="1"/>
  <c r="G111" i="8"/>
  <c r="H111" i="8" s="1"/>
  <c r="G95" i="8"/>
  <c r="H95" i="8" s="1"/>
  <c r="G94" i="8"/>
  <c r="G90" i="8"/>
  <c r="G89" i="8"/>
  <c r="G88" i="8"/>
  <c r="G87" i="8"/>
  <c r="G86" i="8"/>
  <c r="G85" i="8"/>
  <c r="G84" i="8"/>
  <c r="G83" i="8"/>
  <c r="G82" i="8"/>
  <c r="G79" i="8"/>
  <c r="G76" i="8"/>
  <c r="G75" i="8"/>
  <c r="G74" i="8"/>
  <c r="G72" i="8"/>
  <c r="G69" i="8"/>
  <c r="G68" i="8"/>
  <c r="G67" i="8"/>
  <c r="G65" i="8"/>
  <c r="G62" i="8"/>
  <c r="G61" i="8"/>
  <c r="G60" i="8"/>
  <c r="G58" i="8"/>
  <c r="G55" i="8"/>
  <c r="G54" i="8"/>
  <c r="G53" i="8"/>
  <c r="G51" i="8"/>
  <c r="G48" i="8"/>
  <c r="G47" i="8"/>
  <c r="G46" i="8"/>
  <c r="G44" i="8"/>
  <c r="G41" i="8"/>
  <c r="G40" i="8"/>
  <c r="G39" i="8"/>
  <c r="G34" i="8"/>
  <c r="G33" i="8"/>
  <c r="G32" i="8"/>
  <c r="G30" i="8"/>
  <c r="G27" i="8"/>
  <c r="G26" i="8"/>
  <c r="G25" i="8"/>
  <c r="G23" i="8"/>
  <c r="G20" i="8"/>
  <c r="G19" i="8"/>
  <c r="G18" i="8"/>
  <c r="G16" i="8"/>
  <c r="G13" i="8"/>
  <c r="G12" i="8"/>
  <c r="G11" i="8"/>
  <c r="G153" i="6"/>
  <c r="G150" i="6"/>
  <c r="G147" i="6"/>
  <c r="G146" i="6"/>
  <c r="G145" i="6"/>
  <c r="G144" i="6"/>
  <c r="G143" i="6"/>
  <c r="G142" i="6"/>
  <c r="G141" i="6"/>
  <c r="G140" i="6"/>
  <c r="G139" i="6"/>
  <c r="G134" i="6"/>
  <c r="H134" i="6" s="1"/>
  <c r="G133" i="6"/>
  <c r="G132" i="6"/>
  <c r="I132" i="6" s="1"/>
  <c r="G131" i="6"/>
  <c r="G130" i="6"/>
  <c r="G129" i="6"/>
  <c r="G128" i="6"/>
  <c r="G127" i="6"/>
  <c r="G126" i="6"/>
  <c r="G125" i="6"/>
  <c r="G124" i="6"/>
  <c r="G123" i="6"/>
  <c r="G122" i="6"/>
  <c r="G121" i="6"/>
  <c r="G117" i="6"/>
  <c r="G116" i="6"/>
  <c r="G115" i="6"/>
  <c r="G114" i="6"/>
  <c r="G113" i="6"/>
  <c r="G112" i="6"/>
  <c r="G111" i="6"/>
  <c r="G108" i="6"/>
  <c r="G106" i="6"/>
  <c r="G105" i="6"/>
  <c r="G104" i="6"/>
  <c r="G103" i="6"/>
  <c r="G102" i="6"/>
  <c r="G101" i="6"/>
  <c r="G96" i="6"/>
  <c r="H96" i="6" s="1"/>
  <c r="G95" i="6"/>
  <c r="G94" i="6"/>
  <c r="G92" i="6"/>
  <c r="G91" i="6"/>
  <c r="G90" i="6"/>
  <c r="G89" i="6"/>
  <c r="G86" i="6"/>
  <c r="G85" i="6"/>
  <c r="G84" i="6"/>
  <c r="G83" i="6"/>
  <c r="G82" i="6"/>
  <c r="G81" i="6"/>
  <c r="G80" i="6"/>
  <c r="G76" i="6"/>
  <c r="G75" i="6"/>
  <c r="H75" i="6" s="1"/>
  <c r="G59" i="6"/>
  <c r="H59" i="6" s="1"/>
  <c r="G58" i="6"/>
  <c r="G54" i="6"/>
  <c r="G53" i="6"/>
  <c r="G52" i="6"/>
  <c r="G51" i="6"/>
  <c r="G50" i="6"/>
  <c r="G49" i="6"/>
  <c r="G48" i="6"/>
  <c r="G47" i="6"/>
  <c r="G46" i="6"/>
  <c r="G44" i="6"/>
  <c r="G41" i="6"/>
  <c r="G40" i="6"/>
  <c r="G39" i="6"/>
  <c r="G37" i="6"/>
  <c r="G34" i="6"/>
  <c r="G33" i="6"/>
  <c r="G32" i="6"/>
  <c r="G30" i="6"/>
  <c r="G27" i="6"/>
  <c r="G26" i="6"/>
  <c r="G25" i="6"/>
  <c r="G23" i="6"/>
  <c r="G20" i="6"/>
  <c r="G19" i="6"/>
  <c r="G18" i="6"/>
  <c r="G16" i="6"/>
  <c r="G13" i="6"/>
  <c r="G12" i="6"/>
  <c r="G11" i="6"/>
  <c r="G322" i="5"/>
  <c r="G319" i="5"/>
  <c r="G316" i="5"/>
  <c r="I316" i="5" s="1"/>
  <c r="G315" i="5"/>
  <c r="G314" i="5"/>
  <c r="G313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89" i="5"/>
  <c r="H289" i="5" s="1"/>
  <c r="D288" i="5"/>
  <c r="J288" i="5" s="1"/>
  <c r="J291" i="5" s="1"/>
  <c r="J328" i="5" s="1"/>
  <c r="F7" i="27" s="1"/>
  <c r="G287" i="5"/>
  <c r="G286" i="5"/>
  <c r="G285" i="5"/>
  <c r="G284" i="5"/>
  <c r="G283" i="5"/>
  <c r="G282" i="5"/>
  <c r="G281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58" i="5"/>
  <c r="G257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5" i="5"/>
  <c r="G233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09" i="5"/>
  <c r="H209" i="5" s="1"/>
  <c r="G208" i="5"/>
  <c r="G207" i="5"/>
  <c r="G205" i="5"/>
  <c r="G204" i="5"/>
  <c r="G203" i="5"/>
  <c r="G202" i="5"/>
  <c r="G199" i="5"/>
  <c r="G198" i="5"/>
  <c r="G192" i="5"/>
  <c r="G191" i="5"/>
  <c r="G190" i="5"/>
  <c r="G189" i="5"/>
  <c r="G188" i="5"/>
  <c r="G187" i="5"/>
  <c r="K187" i="5" s="1"/>
  <c r="G186" i="5"/>
  <c r="G185" i="5"/>
  <c r="G184" i="5"/>
  <c r="G183" i="5"/>
  <c r="G182" i="5"/>
  <c r="G181" i="5"/>
  <c r="G180" i="5"/>
  <c r="G179" i="5"/>
  <c r="G175" i="5"/>
  <c r="H175" i="5" s="1"/>
  <c r="G174" i="5"/>
  <c r="H174" i="5" s="1"/>
  <c r="G159" i="5"/>
  <c r="G158" i="5"/>
  <c r="G153" i="5"/>
  <c r="G152" i="5"/>
  <c r="G151" i="5"/>
  <c r="G150" i="5"/>
  <c r="G149" i="5"/>
  <c r="G148" i="5"/>
  <c r="G147" i="5"/>
  <c r="G146" i="5"/>
  <c r="G145" i="5"/>
  <c r="G114" i="5"/>
  <c r="G111" i="5"/>
  <c r="G110" i="5"/>
  <c r="G109" i="5"/>
  <c r="G97" i="5"/>
  <c r="G96" i="5"/>
  <c r="G95" i="5"/>
  <c r="G93" i="5"/>
  <c r="G90" i="5"/>
  <c r="G89" i="5"/>
  <c r="G88" i="5"/>
  <c r="G86" i="5"/>
  <c r="G83" i="5"/>
  <c r="G82" i="5"/>
  <c r="G81" i="5"/>
  <c r="G79" i="5"/>
  <c r="G76" i="5"/>
  <c r="G75" i="5"/>
  <c r="G74" i="5"/>
  <c r="G72" i="5"/>
  <c r="G69" i="5"/>
  <c r="G68" i="5"/>
  <c r="G67" i="5"/>
  <c r="G65" i="5"/>
  <c r="G62" i="5"/>
  <c r="G61" i="5"/>
  <c r="G60" i="5"/>
  <c r="G58" i="5"/>
  <c r="G55" i="5"/>
  <c r="G54" i="5"/>
  <c r="G53" i="5"/>
  <c r="G51" i="5"/>
  <c r="G48" i="5"/>
  <c r="G47" i="5"/>
  <c r="G46" i="5"/>
  <c r="G44" i="5"/>
  <c r="G41" i="5"/>
  <c r="G40" i="5"/>
  <c r="G39" i="5"/>
  <c r="G37" i="5"/>
  <c r="G34" i="5"/>
  <c r="G33" i="5"/>
  <c r="G32" i="5"/>
  <c r="G30" i="5"/>
  <c r="G27" i="5"/>
  <c r="G26" i="5"/>
  <c r="G25" i="5"/>
  <c r="G23" i="5"/>
  <c r="G20" i="5"/>
  <c r="G19" i="5"/>
  <c r="G18" i="5"/>
  <c r="G16" i="5"/>
  <c r="G13" i="5"/>
  <c r="G12" i="5"/>
  <c r="G11" i="5"/>
  <c r="G131" i="4"/>
  <c r="G128" i="4"/>
  <c r="G125" i="4"/>
  <c r="G124" i="4"/>
  <c r="H124" i="4" s="1"/>
  <c r="G123" i="4"/>
  <c r="G122" i="4"/>
  <c r="G121" i="4"/>
  <c r="G120" i="4"/>
  <c r="G119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99" i="4"/>
  <c r="G98" i="4"/>
  <c r="G97" i="4"/>
  <c r="G96" i="4"/>
  <c r="G95" i="4"/>
  <c r="G92" i="4"/>
  <c r="G90" i="4"/>
  <c r="G89" i="4"/>
  <c r="G87" i="4"/>
  <c r="G82" i="4"/>
  <c r="H82" i="4" s="1"/>
  <c r="G81" i="4"/>
  <c r="H81" i="4" s="1"/>
  <c r="G80" i="4"/>
  <c r="G78" i="4"/>
  <c r="G77" i="4"/>
  <c r="G76" i="4"/>
  <c r="G75" i="4"/>
  <c r="G72" i="4"/>
  <c r="G71" i="4"/>
  <c r="G70" i="4"/>
  <c r="G69" i="4"/>
  <c r="G68" i="4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46" i="4"/>
  <c r="H46" i="4" s="1"/>
  <c r="G45" i="4"/>
  <c r="G40" i="4"/>
  <c r="G39" i="4"/>
  <c r="G38" i="4"/>
  <c r="G37" i="4"/>
  <c r="G36" i="4"/>
  <c r="G35" i="4"/>
  <c r="G34" i="4"/>
  <c r="G33" i="4"/>
  <c r="G32" i="4"/>
  <c r="G29" i="4"/>
  <c r="G26" i="4"/>
  <c r="G25" i="4"/>
  <c r="G24" i="4"/>
  <c r="G22" i="4"/>
  <c r="G19" i="4"/>
  <c r="G18" i="4"/>
  <c r="G17" i="4"/>
  <c r="G15" i="4"/>
  <c r="G12" i="4"/>
  <c r="G11" i="4"/>
  <c r="G10" i="4"/>
  <c r="G190" i="3"/>
  <c r="I190" i="3" s="1"/>
  <c r="G187" i="3"/>
  <c r="I187" i="3" s="1"/>
  <c r="I189" i="3" s="1"/>
  <c r="G184" i="3"/>
  <c r="G183" i="3"/>
  <c r="G182" i="3"/>
  <c r="G181" i="3"/>
  <c r="G180" i="3"/>
  <c r="G179" i="3"/>
  <c r="G178" i="3"/>
  <c r="G177" i="3"/>
  <c r="G176" i="3"/>
  <c r="G175" i="3"/>
  <c r="G174" i="3"/>
  <c r="G173" i="3"/>
  <c r="G168" i="3"/>
  <c r="G167" i="3"/>
  <c r="K167" i="3" s="1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48" i="3"/>
  <c r="G147" i="3"/>
  <c r="G146" i="3"/>
  <c r="G145" i="3"/>
  <c r="G144" i="3"/>
  <c r="G143" i="3"/>
  <c r="G142" i="3"/>
  <c r="G141" i="3"/>
  <c r="G140" i="3"/>
  <c r="G139" i="3"/>
  <c r="G136" i="3"/>
  <c r="G134" i="3"/>
  <c r="G133" i="3"/>
  <c r="G132" i="3"/>
  <c r="G131" i="3"/>
  <c r="G130" i="3"/>
  <c r="G129" i="3"/>
  <c r="G128" i="3"/>
  <c r="G127" i="3"/>
  <c r="G126" i="3"/>
  <c r="G122" i="3"/>
  <c r="H122" i="3" s="1"/>
  <c r="G121" i="3"/>
  <c r="G119" i="3"/>
  <c r="G118" i="3"/>
  <c r="G117" i="3"/>
  <c r="G116" i="3"/>
  <c r="G115" i="3"/>
  <c r="G112" i="3"/>
  <c r="G111" i="3"/>
  <c r="G110" i="3"/>
  <c r="G109" i="3"/>
  <c r="G108" i="3"/>
  <c r="G107" i="3"/>
  <c r="G106" i="3"/>
  <c r="G105" i="3"/>
  <c r="G104" i="3"/>
  <c r="G103" i="3"/>
  <c r="G82" i="3"/>
  <c r="G81" i="3"/>
  <c r="G80" i="3"/>
  <c r="G76" i="3"/>
  <c r="G75" i="3"/>
  <c r="G74" i="3"/>
  <c r="G73" i="3"/>
  <c r="G72" i="3"/>
  <c r="G71" i="3"/>
  <c r="G70" i="3"/>
  <c r="G69" i="3"/>
  <c r="G68" i="3"/>
  <c r="K68" i="3" s="1"/>
  <c r="G65" i="3"/>
  <c r="G62" i="3"/>
  <c r="G61" i="3"/>
  <c r="G60" i="3"/>
  <c r="G58" i="3"/>
  <c r="G55" i="3"/>
  <c r="G54" i="3"/>
  <c r="G53" i="3"/>
  <c r="G51" i="3"/>
  <c r="G48" i="3"/>
  <c r="G47" i="3"/>
  <c r="G46" i="3"/>
  <c r="G44" i="3"/>
  <c r="G41" i="3"/>
  <c r="G40" i="3"/>
  <c r="G39" i="3"/>
  <c r="G37" i="3"/>
  <c r="G34" i="3"/>
  <c r="G33" i="3"/>
  <c r="G32" i="3"/>
  <c r="G30" i="3"/>
  <c r="G27" i="3"/>
  <c r="G26" i="3"/>
  <c r="G25" i="3"/>
  <c r="G23" i="3"/>
  <c r="G20" i="3"/>
  <c r="G19" i="3"/>
  <c r="G18" i="3"/>
  <c r="G16" i="3"/>
  <c r="G13" i="3"/>
  <c r="G12" i="3"/>
  <c r="G11" i="3"/>
  <c r="G232" i="2"/>
  <c r="G226" i="2"/>
  <c r="H226" i="2" s="1"/>
  <c r="G225" i="2"/>
  <c r="H225" i="2" s="1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05" i="2"/>
  <c r="H205" i="2" s="1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7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48" i="2"/>
  <c r="H148" i="2" s="1"/>
  <c r="G146" i="2"/>
  <c r="H146" i="2" s="1"/>
  <c r="G145" i="2"/>
  <c r="G143" i="2"/>
  <c r="G142" i="2"/>
  <c r="G141" i="2"/>
  <c r="G140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02" i="2"/>
  <c r="H102" i="2" s="1"/>
  <c r="G101" i="2"/>
  <c r="G96" i="2"/>
  <c r="G95" i="2"/>
  <c r="G94" i="2"/>
  <c r="G93" i="2"/>
  <c r="G92" i="2"/>
  <c r="G91" i="2"/>
  <c r="G90" i="2"/>
  <c r="G89" i="2"/>
  <c r="G88" i="2"/>
  <c r="G85" i="2"/>
  <c r="G82" i="2"/>
  <c r="G81" i="2"/>
  <c r="G80" i="2"/>
  <c r="G78" i="2"/>
  <c r="G75" i="2"/>
  <c r="G74" i="2"/>
  <c r="G73" i="2"/>
  <c r="G71" i="2"/>
  <c r="G68" i="2"/>
  <c r="G67" i="2"/>
  <c r="G66" i="2"/>
  <c r="G64" i="2"/>
  <c r="G61" i="2"/>
  <c r="G60" i="2"/>
  <c r="G59" i="2"/>
  <c r="G57" i="2"/>
  <c r="G54" i="2"/>
  <c r="G53" i="2"/>
  <c r="G52" i="2"/>
  <c r="G50" i="2"/>
  <c r="G47" i="2"/>
  <c r="G46" i="2"/>
  <c r="G45" i="2"/>
  <c r="G43" i="2"/>
  <c r="G40" i="2"/>
  <c r="G39" i="2"/>
  <c r="G38" i="2"/>
  <c r="G36" i="2"/>
  <c r="G33" i="2"/>
  <c r="G32" i="2"/>
  <c r="G31" i="2"/>
  <c r="G29" i="2"/>
  <c r="G26" i="2"/>
  <c r="G25" i="2"/>
  <c r="G24" i="2"/>
  <c r="G22" i="2"/>
  <c r="G19" i="2"/>
  <c r="G18" i="2"/>
  <c r="G17" i="2"/>
  <c r="G15" i="2"/>
  <c r="G12" i="2"/>
  <c r="G11" i="2"/>
  <c r="G10" i="2"/>
  <c r="G107" i="1"/>
  <c r="G100" i="1"/>
  <c r="G93" i="1"/>
  <c r="G86" i="1"/>
  <c r="G79" i="1"/>
  <c r="G72" i="1"/>
  <c r="G65" i="1"/>
  <c r="G58" i="1"/>
  <c r="G51" i="1"/>
  <c r="G44" i="1"/>
  <c r="G37" i="1"/>
  <c r="G30" i="1"/>
  <c r="G23" i="1"/>
  <c r="G16" i="1"/>
  <c r="G190" i="19"/>
  <c r="G184" i="19"/>
  <c r="H184" i="19" s="1"/>
  <c r="G183" i="19"/>
  <c r="H183" i="19" s="1"/>
  <c r="G182" i="19"/>
  <c r="H182" i="19" s="1"/>
  <c r="G181" i="19"/>
  <c r="G180" i="19"/>
  <c r="G179" i="19"/>
  <c r="G178" i="19"/>
  <c r="G177" i="19"/>
  <c r="G176" i="19"/>
  <c r="G175" i="19"/>
  <c r="G174" i="19"/>
  <c r="G173" i="19"/>
  <c r="G168" i="19"/>
  <c r="G167" i="19"/>
  <c r="G166" i="19"/>
  <c r="G165" i="19"/>
  <c r="G164" i="19"/>
  <c r="G163" i="19"/>
  <c r="G162" i="19"/>
  <c r="G161" i="19"/>
  <c r="G160" i="19"/>
  <c r="G159" i="19"/>
  <c r="G158" i="19"/>
  <c r="G157" i="19"/>
  <c r="G156" i="19"/>
  <c r="G155" i="19"/>
  <c r="G154" i="19"/>
  <c r="G153" i="19"/>
  <c r="G152" i="19"/>
  <c r="G147" i="19"/>
  <c r="G146" i="19"/>
  <c r="G145" i="19"/>
  <c r="G144" i="19"/>
  <c r="G143" i="19"/>
  <c r="G142" i="19"/>
  <c r="G141" i="19"/>
  <c r="G140" i="19"/>
  <c r="G139" i="19"/>
  <c r="G134" i="19"/>
  <c r="G133" i="19"/>
  <c r="G132" i="19"/>
  <c r="G131" i="19"/>
  <c r="G130" i="19"/>
  <c r="G129" i="19"/>
  <c r="G128" i="19"/>
  <c r="G127" i="19"/>
  <c r="G126" i="19"/>
  <c r="G121" i="19"/>
  <c r="G120" i="19"/>
  <c r="G119" i="19"/>
  <c r="G117" i="19"/>
  <c r="G116" i="19"/>
  <c r="G115" i="19"/>
  <c r="G114" i="19"/>
  <c r="G111" i="19"/>
  <c r="G110" i="19"/>
  <c r="G109" i="19"/>
  <c r="G108" i="19"/>
  <c r="G107" i="19"/>
  <c r="G106" i="19"/>
  <c r="G105" i="19"/>
  <c r="G104" i="19"/>
  <c r="G103" i="19"/>
  <c r="G102" i="19"/>
  <c r="G82" i="19"/>
  <c r="G81" i="19"/>
  <c r="H81" i="19" s="1"/>
  <c r="G75" i="19"/>
  <c r="G74" i="19"/>
  <c r="G73" i="19"/>
  <c r="G70" i="19"/>
  <c r="G69" i="19"/>
  <c r="G68" i="19"/>
  <c r="G62" i="19"/>
  <c r="G61" i="19"/>
  <c r="G60" i="19"/>
  <c r="G55" i="19"/>
  <c r="G54" i="19"/>
  <c r="G53" i="19"/>
  <c r="G48" i="19"/>
  <c r="G47" i="19"/>
  <c r="G46" i="19"/>
  <c r="G41" i="19"/>
  <c r="G40" i="19"/>
  <c r="G39" i="19"/>
  <c r="G34" i="19"/>
  <c r="G33" i="19"/>
  <c r="G32" i="19"/>
  <c r="G27" i="19"/>
  <c r="G26" i="19"/>
  <c r="G25" i="19"/>
  <c r="G20" i="19"/>
  <c r="G19" i="19"/>
  <c r="G18" i="19"/>
  <c r="G13" i="19"/>
  <c r="G12" i="19"/>
  <c r="G11" i="19"/>
  <c r="G11" i="1"/>
  <c r="G121" i="1"/>
  <c r="G257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63" i="1"/>
  <c r="G260" i="1"/>
  <c r="I260" i="1" s="1"/>
  <c r="I262" i="1" s="1"/>
  <c r="G206" i="1"/>
  <c r="G207" i="1"/>
  <c r="G208" i="1"/>
  <c r="G209" i="1"/>
  <c r="G240" i="1"/>
  <c r="G254" i="1"/>
  <c r="G255" i="1"/>
  <c r="G256" i="1"/>
  <c r="G234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5" i="1"/>
  <c r="H235" i="1" s="1"/>
  <c r="G117" i="1"/>
  <c r="G116" i="1"/>
  <c r="G115" i="1"/>
  <c r="G114" i="1"/>
  <c r="G113" i="1"/>
  <c r="G112" i="1"/>
  <c r="G111" i="1"/>
  <c r="H110" i="1"/>
  <c r="G109" i="1"/>
  <c r="G104" i="1"/>
  <c r="G103" i="1"/>
  <c r="G102" i="1"/>
  <c r="G97" i="1"/>
  <c r="G96" i="1"/>
  <c r="G95" i="1"/>
  <c r="G90" i="1"/>
  <c r="G89" i="1"/>
  <c r="G88" i="1"/>
  <c r="G83" i="1"/>
  <c r="G82" i="1"/>
  <c r="G81" i="1"/>
  <c r="G76" i="1"/>
  <c r="G75" i="1"/>
  <c r="G74" i="1"/>
  <c r="G69" i="1"/>
  <c r="G68" i="1"/>
  <c r="G67" i="1"/>
  <c r="G62" i="1"/>
  <c r="G61" i="1"/>
  <c r="G60" i="1"/>
  <c r="G55" i="1"/>
  <c r="G54" i="1"/>
  <c r="G53" i="1"/>
  <c r="G48" i="1"/>
  <c r="G47" i="1"/>
  <c r="G46" i="1"/>
  <c r="G41" i="1"/>
  <c r="G40" i="1"/>
  <c r="G39" i="1"/>
  <c r="G34" i="1"/>
  <c r="G33" i="1"/>
  <c r="G32" i="1"/>
  <c r="G27" i="1"/>
  <c r="G26" i="1"/>
  <c r="G25" i="1"/>
  <c r="G20" i="1"/>
  <c r="G19" i="1"/>
  <c r="G18" i="1"/>
  <c r="G13" i="1"/>
  <c r="G12" i="1"/>
  <c r="G185" i="1"/>
  <c r="G186" i="1"/>
  <c r="G187" i="1"/>
  <c r="G170" i="1"/>
  <c r="G160" i="1"/>
  <c r="G163" i="1"/>
  <c r="G164" i="1"/>
  <c r="R17" i="16"/>
  <c r="Q17" i="16"/>
  <c r="P17" i="16"/>
  <c r="M17" i="16"/>
  <c r="H17" i="16"/>
  <c r="N15" i="16"/>
  <c r="N14" i="16"/>
  <c r="T14" i="16" s="1"/>
  <c r="N13" i="16"/>
  <c r="S13" i="16" s="1"/>
  <c r="T13" i="16" s="1"/>
  <c r="N12" i="16"/>
  <c r="N11" i="16"/>
  <c r="N10" i="16"/>
  <c r="T10" i="16" s="1"/>
  <c r="N9" i="16"/>
  <c r="T9" i="16" s="1"/>
  <c r="N8" i="16"/>
  <c r="N7" i="16"/>
  <c r="N6" i="16"/>
  <c r="T6" i="16" s="1"/>
  <c r="N5" i="16"/>
  <c r="G146" i="1"/>
  <c r="G147" i="1"/>
  <c r="H148" i="1"/>
  <c r="G149" i="1"/>
  <c r="G150" i="1"/>
  <c r="G151" i="1"/>
  <c r="G152" i="1"/>
  <c r="G153" i="1"/>
  <c r="G154" i="1"/>
  <c r="G155" i="1"/>
  <c r="G156" i="1"/>
  <c r="G157" i="1"/>
  <c r="G158" i="1"/>
  <c r="G159" i="1"/>
  <c r="G145" i="1"/>
  <c r="G165" i="1"/>
  <c r="G167" i="1"/>
  <c r="G168" i="1"/>
  <c r="G171" i="1"/>
  <c r="H171" i="1" s="1"/>
  <c r="G176" i="1"/>
  <c r="G177" i="1"/>
  <c r="G178" i="1"/>
  <c r="G179" i="1"/>
  <c r="G180" i="1"/>
  <c r="G181" i="1"/>
  <c r="G182" i="1"/>
  <c r="G183" i="1"/>
  <c r="G184" i="1"/>
  <c r="G188" i="1"/>
  <c r="G189" i="1"/>
  <c r="G190" i="1"/>
  <c r="G192" i="1"/>
  <c r="H192" i="1" s="1"/>
  <c r="G195" i="1"/>
  <c r="G196" i="1"/>
  <c r="G197" i="1"/>
  <c r="G198" i="1"/>
  <c r="G199" i="1"/>
  <c r="G200" i="1"/>
  <c r="G201" i="1"/>
  <c r="G202" i="1"/>
  <c r="G203" i="1"/>
  <c r="G204" i="1"/>
  <c r="G205" i="1"/>
  <c r="G210" i="1"/>
  <c r="AK129" i="14"/>
  <c r="AJ129" i="14"/>
  <c r="AF129" i="14"/>
  <c r="AI128" i="14"/>
  <c r="AH128" i="14"/>
  <c r="AG128" i="14"/>
  <c r="C128" i="14"/>
  <c r="H128" i="14" s="1"/>
  <c r="K128" i="14" s="1"/>
  <c r="O128" i="14" s="1"/>
  <c r="T128" i="14" s="1"/>
  <c r="AI127" i="14"/>
  <c r="AH127" i="14"/>
  <c r="AG127" i="14"/>
  <c r="C127" i="14"/>
  <c r="G127" i="14" s="1"/>
  <c r="J127" i="14" s="1"/>
  <c r="AI126" i="14"/>
  <c r="AH126" i="14"/>
  <c r="AG126" i="14"/>
  <c r="C126" i="14"/>
  <c r="I126" i="14" s="1"/>
  <c r="L126" i="14" s="1"/>
  <c r="P126" i="14" s="1"/>
  <c r="U126" i="14" s="1"/>
  <c r="AI125" i="14"/>
  <c r="AH125" i="14"/>
  <c r="AG125" i="14"/>
  <c r="C125" i="14"/>
  <c r="I125" i="14" s="1"/>
  <c r="L125" i="14" s="1"/>
  <c r="P125" i="14" s="1"/>
  <c r="U125" i="14" s="1"/>
  <c r="AI124" i="14"/>
  <c r="AH124" i="14"/>
  <c r="AG124" i="14"/>
  <c r="C124" i="14"/>
  <c r="H124" i="14" s="1"/>
  <c r="K124" i="14" s="1"/>
  <c r="O124" i="14" s="1"/>
  <c r="T124" i="14" s="1"/>
  <c r="AI123" i="14"/>
  <c r="AH123" i="14"/>
  <c r="AG123" i="14"/>
  <c r="C123" i="14"/>
  <c r="G123" i="14" s="1"/>
  <c r="J123" i="14" s="1"/>
  <c r="AI122" i="14"/>
  <c r="AH122" i="14"/>
  <c r="AG122" i="14"/>
  <c r="C122" i="14"/>
  <c r="G122" i="14" s="1"/>
  <c r="J122" i="14" s="1"/>
  <c r="AI121" i="14"/>
  <c r="AH121" i="14"/>
  <c r="AG121" i="14"/>
  <c r="C121" i="14"/>
  <c r="I121" i="14" s="1"/>
  <c r="L121" i="14" s="1"/>
  <c r="P121" i="14" s="1"/>
  <c r="U121" i="14" s="1"/>
  <c r="AI120" i="14"/>
  <c r="AH120" i="14"/>
  <c r="AG120" i="14"/>
  <c r="C120" i="14"/>
  <c r="G120" i="14" s="1"/>
  <c r="J120" i="14" s="1"/>
  <c r="AI119" i="14"/>
  <c r="AH119" i="14"/>
  <c r="AG119" i="14"/>
  <c r="C119" i="14"/>
  <c r="AI118" i="14"/>
  <c r="AH118" i="14"/>
  <c r="AG118" i="14"/>
  <c r="C118" i="14"/>
  <c r="I118" i="14" s="1"/>
  <c r="L118" i="14" s="1"/>
  <c r="P118" i="14" s="1"/>
  <c r="U118" i="14" s="1"/>
  <c r="AI117" i="14"/>
  <c r="AH117" i="14"/>
  <c r="AG117" i="14"/>
  <c r="C117" i="14"/>
  <c r="AI116" i="14"/>
  <c r="AH116" i="14"/>
  <c r="AG116" i="14"/>
  <c r="C116" i="14"/>
  <c r="I116" i="14" s="1"/>
  <c r="L116" i="14" s="1"/>
  <c r="P116" i="14" s="1"/>
  <c r="U116" i="14" s="1"/>
  <c r="AI115" i="14"/>
  <c r="AH115" i="14"/>
  <c r="AG115" i="14"/>
  <c r="C115" i="14"/>
  <c r="AI114" i="14"/>
  <c r="AH114" i="14"/>
  <c r="AG114" i="14"/>
  <c r="C114" i="14"/>
  <c r="G114" i="14" s="1"/>
  <c r="J114" i="14" s="1"/>
  <c r="AI113" i="14"/>
  <c r="AH113" i="14"/>
  <c r="AG113" i="14"/>
  <c r="C113" i="14"/>
  <c r="AI112" i="14"/>
  <c r="AH112" i="14"/>
  <c r="AG112" i="14"/>
  <c r="C112" i="14"/>
  <c r="H112" i="14" s="1"/>
  <c r="K112" i="14" s="1"/>
  <c r="O112" i="14" s="1"/>
  <c r="T112" i="14" s="1"/>
  <c r="AI111" i="14"/>
  <c r="AH111" i="14"/>
  <c r="AG111" i="14"/>
  <c r="C111" i="14"/>
  <c r="H111" i="14" s="1"/>
  <c r="K111" i="14" s="1"/>
  <c r="O111" i="14" s="1"/>
  <c r="T111" i="14" s="1"/>
  <c r="AI110" i="14"/>
  <c r="AH110" i="14"/>
  <c r="AG110" i="14"/>
  <c r="C110" i="14"/>
  <c r="H110" i="14" s="1"/>
  <c r="K110" i="14" s="1"/>
  <c r="O110" i="14" s="1"/>
  <c r="T110" i="14" s="1"/>
  <c r="AI109" i="14"/>
  <c r="AH109" i="14"/>
  <c r="AG109" i="14"/>
  <c r="C109" i="14"/>
  <c r="I109" i="14" s="1"/>
  <c r="L109" i="14" s="1"/>
  <c r="P109" i="14" s="1"/>
  <c r="U109" i="14" s="1"/>
  <c r="AI108" i="14"/>
  <c r="AH108" i="14"/>
  <c r="AG108" i="14"/>
  <c r="C108" i="14"/>
  <c r="H108" i="14" s="1"/>
  <c r="K108" i="14" s="1"/>
  <c r="O108" i="14" s="1"/>
  <c r="T108" i="14" s="1"/>
  <c r="AI107" i="14"/>
  <c r="AH107" i="14"/>
  <c r="AG107" i="14"/>
  <c r="C107" i="14"/>
  <c r="I107" i="14" s="1"/>
  <c r="L107" i="14" s="1"/>
  <c r="P107" i="14" s="1"/>
  <c r="U107" i="14" s="1"/>
  <c r="AI106" i="14"/>
  <c r="AH106" i="14"/>
  <c r="AG106" i="14"/>
  <c r="C106" i="14"/>
  <c r="H106" i="14" s="1"/>
  <c r="K106" i="14" s="1"/>
  <c r="O106" i="14" s="1"/>
  <c r="T106" i="14" s="1"/>
  <c r="AI105" i="14"/>
  <c r="AH105" i="14"/>
  <c r="AG105" i="14"/>
  <c r="C105" i="14"/>
  <c r="H105" i="14" s="1"/>
  <c r="K105" i="14" s="1"/>
  <c r="O105" i="14" s="1"/>
  <c r="T105" i="14" s="1"/>
  <c r="AI104" i="14"/>
  <c r="AH104" i="14"/>
  <c r="AG104" i="14"/>
  <c r="C104" i="14"/>
  <c r="I104" i="14" s="1"/>
  <c r="L104" i="14" s="1"/>
  <c r="P104" i="14" s="1"/>
  <c r="U104" i="14" s="1"/>
  <c r="AI103" i="14"/>
  <c r="AH103" i="14"/>
  <c r="AG103" i="14"/>
  <c r="C103" i="14"/>
  <c r="I103" i="14" s="1"/>
  <c r="L103" i="14" s="1"/>
  <c r="P103" i="14" s="1"/>
  <c r="U103" i="14" s="1"/>
  <c r="AI102" i="14"/>
  <c r="AH102" i="14"/>
  <c r="AG102" i="14"/>
  <c r="C102" i="14"/>
  <c r="H102" i="14" s="1"/>
  <c r="K102" i="14" s="1"/>
  <c r="O102" i="14" s="1"/>
  <c r="T102" i="14" s="1"/>
  <c r="AI101" i="14"/>
  <c r="AH101" i="14"/>
  <c r="AG101" i="14"/>
  <c r="C101" i="14"/>
  <c r="G101" i="14" s="1"/>
  <c r="J101" i="14" s="1"/>
  <c r="AI100" i="14"/>
  <c r="AH100" i="14"/>
  <c r="AG100" i="14"/>
  <c r="C100" i="14"/>
  <c r="I100" i="14" s="1"/>
  <c r="L100" i="14" s="1"/>
  <c r="P100" i="14" s="1"/>
  <c r="U100" i="14" s="1"/>
  <c r="AI99" i="14"/>
  <c r="AH99" i="14"/>
  <c r="AG99" i="14"/>
  <c r="C99" i="14"/>
  <c r="AI98" i="14"/>
  <c r="AH98" i="14"/>
  <c r="AG98" i="14"/>
  <c r="C98" i="14"/>
  <c r="H98" i="14" s="1"/>
  <c r="K98" i="14" s="1"/>
  <c r="O98" i="14" s="1"/>
  <c r="T98" i="14" s="1"/>
  <c r="AI97" i="14"/>
  <c r="AH97" i="14"/>
  <c r="AG97" i="14"/>
  <c r="C97" i="14"/>
  <c r="G97" i="14" s="1"/>
  <c r="J97" i="14" s="1"/>
  <c r="AI96" i="14"/>
  <c r="AH96" i="14"/>
  <c r="AG96" i="14"/>
  <c r="C96" i="14"/>
  <c r="I96" i="14" s="1"/>
  <c r="L96" i="14" s="1"/>
  <c r="P96" i="14" s="1"/>
  <c r="U96" i="14" s="1"/>
  <c r="AI95" i="14"/>
  <c r="AH95" i="14"/>
  <c r="AG95" i="14"/>
  <c r="C95" i="14"/>
  <c r="G95" i="14" s="1"/>
  <c r="J95" i="14" s="1"/>
  <c r="AI94" i="14"/>
  <c r="AH94" i="14"/>
  <c r="AG94" i="14"/>
  <c r="C94" i="14"/>
  <c r="I94" i="14" s="1"/>
  <c r="L94" i="14" s="1"/>
  <c r="P94" i="14" s="1"/>
  <c r="U94" i="14" s="1"/>
  <c r="AI93" i="14"/>
  <c r="AH93" i="14"/>
  <c r="AG93" i="14"/>
  <c r="C93" i="14"/>
  <c r="AI92" i="14"/>
  <c r="AH92" i="14"/>
  <c r="AG92" i="14"/>
  <c r="C92" i="14"/>
  <c r="H92" i="14" s="1"/>
  <c r="K92" i="14" s="1"/>
  <c r="O92" i="14" s="1"/>
  <c r="T92" i="14" s="1"/>
  <c r="AI91" i="14"/>
  <c r="AH91" i="14"/>
  <c r="AG91" i="14"/>
  <c r="C91" i="14"/>
  <c r="AI90" i="14"/>
  <c r="AH90" i="14"/>
  <c r="AG90" i="14"/>
  <c r="C90" i="14"/>
  <c r="I90" i="14" s="1"/>
  <c r="L90" i="14" s="1"/>
  <c r="P90" i="14" s="1"/>
  <c r="U90" i="14" s="1"/>
  <c r="AI89" i="14"/>
  <c r="AH89" i="14"/>
  <c r="AG89" i="14"/>
  <c r="C89" i="14"/>
  <c r="AI88" i="14"/>
  <c r="AH88" i="14"/>
  <c r="AG88" i="14"/>
  <c r="C88" i="14"/>
  <c r="H88" i="14" s="1"/>
  <c r="K88" i="14" s="1"/>
  <c r="O88" i="14" s="1"/>
  <c r="T88" i="14" s="1"/>
  <c r="AI87" i="14"/>
  <c r="AH87" i="14"/>
  <c r="AG87" i="14"/>
  <c r="C87" i="14"/>
  <c r="I87" i="14" s="1"/>
  <c r="L87" i="14" s="1"/>
  <c r="P87" i="14" s="1"/>
  <c r="U87" i="14" s="1"/>
  <c r="AI86" i="14"/>
  <c r="AH86" i="14"/>
  <c r="AG86" i="14"/>
  <c r="C86" i="14"/>
  <c r="I86" i="14" s="1"/>
  <c r="L86" i="14" s="1"/>
  <c r="P86" i="14" s="1"/>
  <c r="U86" i="14" s="1"/>
  <c r="AI85" i="14"/>
  <c r="AH85" i="14"/>
  <c r="AG85" i="14"/>
  <c r="C85" i="14"/>
  <c r="AI84" i="14"/>
  <c r="AH84" i="14"/>
  <c r="AG84" i="14"/>
  <c r="C84" i="14"/>
  <c r="AI83" i="14"/>
  <c r="AH83" i="14"/>
  <c r="AG83" i="14"/>
  <c r="C83" i="14"/>
  <c r="G83" i="14" s="1"/>
  <c r="J83" i="14" s="1"/>
  <c r="AI82" i="14"/>
  <c r="AH82" i="14"/>
  <c r="AG82" i="14"/>
  <c r="C82" i="14"/>
  <c r="I82" i="14" s="1"/>
  <c r="L82" i="14" s="1"/>
  <c r="P82" i="14" s="1"/>
  <c r="U82" i="14" s="1"/>
  <c r="AI81" i="14"/>
  <c r="AH81" i="14"/>
  <c r="AG81" i="14"/>
  <c r="C81" i="14"/>
  <c r="AI80" i="14"/>
  <c r="AH80" i="14"/>
  <c r="AG80" i="14"/>
  <c r="C80" i="14"/>
  <c r="H80" i="14" s="1"/>
  <c r="K80" i="14" s="1"/>
  <c r="O80" i="14" s="1"/>
  <c r="T80" i="14" s="1"/>
  <c r="AI79" i="14"/>
  <c r="AH79" i="14"/>
  <c r="AG79" i="14"/>
  <c r="C79" i="14"/>
  <c r="G79" i="14" s="1"/>
  <c r="J79" i="14" s="1"/>
  <c r="AI78" i="14"/>
  <c r="AH78" i="14"/>
  <c r="AG78" i="14"/>
  <c r="C78" i="14"/>
  <c r="I78" i="14" s="1"/>
  <c r="L78" i="14" s="1"/>
  <c r="P78" i="14" s="1"/>
  <c r="U78" i="14" s="1"/>
  <c r="AI77" i="14"/>
  <c r="AH77" i="14"/>
  <c r="AG77" i="14"/>
  <c r="C77" i="14"/>
  <c r="AI76" i="14"/>
  <c r="AH76" i="14"/>
  <c r="AG76" i="14"/>
  <c r="C76" i="14"/>
  <c r="H76" i="14" s="1"/>
  <c r="K76" i="14" s="1"/>
  <c r="O76" i="14" s="1"/>
  <c r="T76" i="14" s="1"/>
  <c r="AI75" i="14"/>
  <c r="AH75" i="14"/>
  <c r="AG75" i="14"/>
  <c r="C75" i="14"/>
  <c r="G75" i="14" s="1"/>
  <c r="J75" i="14" s="1"/>
  <c r="N75" i="14" s="1"/>
  <c r="S75" i="14" s="1"/>
  <c r="W75" i="14" s="1"/>
  <c r="X75" i="14" s="1"/>
  <c r="Y75" i="14" s="1"/>
  <c r="AI74" i="14"/>
  <c r="AH74" i="14"/>
  <c r="AG74" i="14"/>
  <c r="C74" i="14"/>
  <c r="I74" i="14" s="1"/>
  <c r="L74" i="14" s="1"/>
  <c r="P74" i="14" s="1"/>
  <c r="U74" i="14" s="1"/>
  <c r="AI73" i="14"/>
  <c r="AH73" i="14"/>
  <c r="AG73" i="14"/>
  <c r="C73" i="14"/>
  <c r="H73" i="14" s="1"/>
  <c r="K73" i="14" s="1"/>
  <c r="O73" i="14" s="1"/>
  <c r="T73" i="14" s="1"/>
  <c r="AI72" i="14"/>
  <c r="AH72" i="14"/>
  <c r="AG72" i="14"/>
  <c r="C72" i="14"/>
  <c r="AI71" i="14"/>
  <c r="AH71" i="14"/>
  <c r="AG71" i="14"/>
  <c r="C71" i="14"/>
  <c r="AI70" i="14"/>
  <c r="AH70" i="14"/>
  <c r="AG70" i="14"/>
  <c r="C70" i="14"/>
  <c r="AI69" i="14"/>
  <c r="AH69" i="14"/>
  <c r="AG69" i="14"/>
  <c r="C69" i="14"/>
  <c r="H69" i="14" s="1"/>
  <c r="K69" i="14" s="1"/>
  <c r="O69" i="14" s="1"/>
  <c r="T69" i="14" s="1"/>
  <c r="AI68" i="14"/>
  <c r="AH68" i="14"/>
  <c r="AG68" i="14"/>
  <c r="C68" i="14"/>
  <c r="G68" i="14" s="1"/>
  <c r="J68" i="14" s="1"/>
  <c r="AI67" i="14"/>
  <c r="AH67" i="14"/>
  <c r="AG67" i="14"/>
  <c r="C67" i="14"/>
  <c r="I67" i="14" s="1"/>
  <c r="L67" i="14" s="1"/>
  <c r="P67" i="14" s="1"/>
  <c r="U67" i="14" s="1"/>
  <c r="AI66" i="14"/>
  <c r="AH66" i="14"/>
  <c r="AG66" i="14"/>
  <c r="C66" i="14"/>
  <c r="AI65" i="14"/>
  <c r="AH65" i="14"/>
  <c r="AG65" i="14"/>
  <c r="C65" i="14"/>
  <c r="H65" i="14" s="1"/>
  <c r="K65" i="14" s="1"/>
  <c r="O65" i="14" s="1"/>
  <c r="T65" i="14" s="1"/>
  <c r="AI64" i="14"/>
  <c r="AH64" i="14"/>
  <c r="AG64" i="14"/>
  <c r="C64" i="14"/>
  <c r="G64" i="14" s="1"/>
  <c r="J64" i="14" s="1"/>
  <c r="AI63" i="14"/>
  <c r="AH63" i="14"/>
  <c r="AG63" i="14"/>
  <c r="C63" i="14"/>
  <c r="I63" i="14" s="1"/>
  <c r="L63" i="14" s="1"/>
  <c r="P63" i="14" s="1"/>
  <c r="U63" i="14" s="1"/>
  <c r="AI62" i="14"/>
  <c r="AH62" i="14"/>
  <c r="AG62" i="14"/>
  <c r="C62" i="14"/>
  <c r="AI61" i="14"/>
  <c r="AH61" i="14"/>
  <c r="AG61" i="14"/>
  <c r="C61" i="14"/>
  <c r="H61" i="14" s="1"/>
  <c r="K61" i="14" s="1"/>
  <c r="O61" i="14" s="1"/>
  <c r="T61" i="14" s="1"/>
  <c r="AI60" i="14"/>
  <c r="AH60" i="14"/>
  <c r="AG60" i="14"/>
  <c r="C60" i="14"/>
  <c r="AI59" i="14"/>
  <c r="AH59" i="14"/>
  <c r="AG59" i="14"/>
  <c r="C59" i="14"/>
  <c r="G59" i="14" s="1"/>
  <c r="J59" i="14" s="1"/>
  <c r="AI58" i="14"/>
  <c r="AH58" i="14"/>
  <c r="AG58" i="14"/>
  <c r="C58" i="14"/>
  <c r="AI57" i="14"/>
  <c r="AH57" i="14"/>
  <c r="AG57" i="14"/>
  <c r="C57" i="14"/>
  <c r="I57" i="14" s="1"/>
  <c r="L57" i="14" s="1"/>
  <c r="P57" i="14" s="1"/>
  <c r="U57" i="14" s="1"/>
  <c r="AI56" i="14"/>
  <c r="AH56" i="14"/>
  <c r="AG56" i="14"/>
  <c r="C56" i="14"/>
  <c r="G56" i="14" s="1"/>
  <c r="J56" i="14" s="1"/>
  <c r="N56" i="14" s="1"/>
  <c r="S56" i="14" s="1"/>
  <c r="W56" i="14" s="1"/>
  <c r="X56" i="14" s="1"/>
  <c r="Y56" i="14" s="1"/>
  <c r="AI55" i="14"/>
  <c r="AH55" i="14"/>
  <c r="AG55" i="14"/>
  <c r="C55" i="14"/>
  <c r="AI54" i="14"/>
  <c r="AH54" i="14"/>
  <c r="AG54" i="14"/>
  <c r="C54" i="14"/>
  <c r="AI53" i="14"/>
  <c r="AH53" i="14"/>
  <c r="AG53" i="14"/>
  <c r="C53" i="14"/>
  <c r="AI52" i="14"/>
  <c r="AH52" i="14"/>
  <c r="AG52" i="14"/>
  <c r="C52" i="14"/>
  <c r="G52" i="14" s="1"/>
  <c r="J52" i="14" s="1"/>
  <c r="N52" i="14" s="1"/>
  <c r="S52" i="14" s="1"/>
  <c r="W52" i="14" s="1"/>
  <c r="X52" i="14" s="1"/>
  <c r="Y52" i="14" s="1"/>
  <c r="AI51" i="14"/>
  <c r="AH51" i="14"/>
  <c r="AG51" i="14"/>
  <c r="C51" i="14"/>
  <c r="AI50" i="14"/>
  <c r="AH50" i="14"/>
  <c r="AG50" i="14"/>
  <c r="C50" i="14"/>
  <c r="G50" i="14" s="1"/>
  <c r="J50" i="14" s="1"/>
  <c r="AI49" i="14"/>
  <c r="AH49" i="14"/>
  <c r="AG49" i="14"/>
  <c r="C49" i="14"/>
  <c r="I49" i="14" s="1"/>
  <c r="L49" i="14" s="1"/>
  <c r="P49" i="14" s="1"/>
  <c r="U49" i="14" s="1"/>
  <c r="AI48" i="14"/>
  <c r="AH48" i="14"/>
  <c r="AG48" i="14"/>
  <c r="C48" i="14"/>
  <c r="AI47" i="14"/>
  <c r="AH47" i="14"/>
  <c r="AG47" i="14"/>
  <c r="C47" i="14"/>
  <c r="I47" i="14" s="1"/>
  <c r="L47" i="14" s="1"/>
  <c r="P47" i="14" s="1"/>
  <c r="U47" i="14" s="1"/>
  <c r="AI46" i="14"/>
  <c r="AH46" i="14"/>
  <c r="AG46" i="14"/>
  <c r="C46" i="14"/>
  <c r="AI45" i="14"/>
  <c r="AH45" i="14"/>
  <c r="AG45" i="14"/>
  <c r="C45" i="14"/>
  <c r="I45" i="14" s="1"/>
  <c r="L45" i="14" s="1"/>
  <c r="P45" i="14" s="1"/>
  <c r="U45" i="14" s="1"/>
  <c r="AI44" i="14"/>
  <c r="AH44" i="14"/>
  <c r="AG44" i="14"/>
  <c r="C44" i="14"/>
  <c r="G44" i="14" s="1"/>
  <c r="J44" i="14" s="1"/>
  <c r="N44" i="14" s="1"/>
  <c r="S44" i="14" s="1"/>
  <c r="W44" i="14" s="1"/>
  <c r="X44" i="14" s="1"/>
  <c r="Y44" i="14" s="1"/>
  <c r="AI43" i="14"/>
  <c r="AH43" i="14"/>
  <c r="AG43" i="14"/>
  <c r="C43" i="14"/>
  <c r="AI42" i="14"/>
  <c r="AH42" i="14"/>
  <c r="AG42" i="14"/>
  <c r="C42" i="14"/>
  <c r="I42" i="14" s="1"/>
  <c r="L42" i="14" s="1"/>
  <c r="P42" i="14" s="1"/>
  <c r="U42" i="14" s="1"/>
  <c r="AI41" i="14"/>
  <c r="AH41" i="14"/>
  <c r="AG41" i="14"/>
  <c r="C41" i="14"/>
  <c r="H41" i="14" s="1"/>
  <c r="K41" i="14" s="1"/>
  <c r="O41" i="14" s="1"/>
  <c r="T41" i="14" s="1"/>
  <c r="AI40" i="14"/>
  <c r="AH40" i="14"/>
  <c r="AG40" i="14"/>
  <c r="C40" i="14"/>
  <c r="H40" i="14" s="1"/>
  <c r="K40" i="14" s="1"/>
  <c r="O40" i="14" s="1"/>
  <c r="T40" i="14" s="1"/>
  <c r="AI39" i="14"/>
  <c r="AH39" i="14"/>
  <c r="AG39" i="14"/>
  <c r="C39" i="14"/>
  <c r="G39" i="14" s="1"/>
  <c r="J39" i="14" s="1"/>
  <c r="AI38" i="14"/>
  <c r="AH38" i="14"/>
  <c r="AG38" i="14"/>
  <c r="C38" i="14"/>
  <c r="I38" i="14" s="1"/>
  <c r="L38" i="14" s="1"/>
  <c r="P38" i="14" s="1"/>
  <c r="U38" i="14" s="1"/>
  <c r="AI37" i="14"/>
  <c r="AH37" i="14"/>
  <c r="AG37" i="14"/>
  <c r="C37" i="14"/>
  <c r="H37" i="14" s="1"/>
  <c r="K37" i="14" s="1"/>
  <c r="O37" i="14" s="1"/>
  <c r="T37" i="14" s="1"/>
  <c r="AI36" i="14"/>
  <c r="AH36" i="14"/>
  <c r="AG36" i="14"/>
  <c r="C36" i="14"/>
  <c r="G36" i="14" s="1"/>
  <c r="J36" i="14" s="1"/>
  <c r="AI35" i="14"/>
  <c r="AH35" i="14"/>
  <c r="AG35" i="14"/>
  <c r="C35" i="14"/>
  <c r="I35" i="14" s="1"/>
  <c r="L35" i="14" s="1"/>
  <c r="P35" i="14" s="1"/>
  <c r="U35" i="14" s="1"/>
  <c r="AI34" i="14"/>
  <c r="AH34" i="14"/>
  <c r="AG34" i="14"/>
  <c r="C34" i="14"/>
  <c r="G34" i="14" s="1"/>
  <c r="J34" i="14" s="1"/>
  <c r="AI33" i="14"/>
  <c r="AH33" i="14"/>
  <c r="AG33" i="14"/>
  <c r="C33" i="14"/>
  <c r="AI32" i="14"/>
  <c r="AH32" i="14"/>
  <c r="AG32" i="14"/>
  <c r="C32" i="14"/>
  <c r="G32" i="14" s="1"/>
  <c r="J32" i="14" s="1"/>
  <c r="N32" i="14" s="1"/>
  <c r="S32" i="14" s="1"/>
  <c r="W32" i="14" s="1"/>
  <c r="X32" i="14" s="1"/>
  <c r="Y32" i="14" s="1"/>
  <c r="AI31" i="14"/>
  <c r="AH31" i="14"/>
  <c r="AG31" i="14"/>
  <c r="C31" i="14"/>
  <c r="I31" i="14" s="1"/>
  <c r="L31" i="14" s="1"/>
  <c r="P31" i="14" s="1"/>
  <c r="U31" i="14" s="1"/>
  <c r="AI30" i="14"/>
  <c r="AH30" i="14"/>
  <c r="AG30" i="14"/>
  <c r="C30" i="14"/>
  <c r="AI29" i="14"/>
  <c r="AH29" i="14"/>
  <c r="AG29" i="14"/>
  <c r="C29" i="14"/>
  <c r="I29" i="14" s="1"/>
  <c r="L29" i="14" s="1"/>
  <c r="P29" i="14" s="1"/>
  <c r="U29" i="14" s="1"/>
  <c r="AI28" i="14"/>
  <c r="AH28" i="14"/>
  <c r="AG28" i="14"/>
  <c r="C28" i="14"/>
  <c r="G28" i="14" s="1"/>
  <c r="J28" i="14" s="1"/>
  <c r="N28" i="14" s="1"/>
  <c r="S28" i="14" s="1"/>
  <c r="W28" i="14" s="1"/>
  <c r="X28" i="14" s="1"/>
  <c r="Y28" i="14" s="1"/>
  <c r="AI27" i="14"/>
  <c r="AH27" i="14"/>
  <c r="AG27" i="14"/>
  <c r="C27" i="14"/>
  <c r="AI26" i="14"/>
  <c r="AH26" i="14"/>
  <c r="AG26" i="14"/>
  <c r="C26" i="14"/>
  <c r="G26" i="14" s="1"/>
  <c r="J26" i="14" s="1"/>
  <c r="AI25" i="14"/>
  <c r="AH25" i="14"/>
  <c r="AG25" i="14"/>
  <c r="C25" i="14"/>
  <c r="AI24" i="14"/>
  <c r="AH24" i="14"/>
  <c r="AG24" i="14"/>
  <c r="C24" i="14"/>
  <c r="G24" i="14" s="1"/>
  <c r="J24" i="14" s="1"/>
  <c r="N24" i="14" s="1"/>
  <c r="S24" i="14" s="1"/>
  <c r="W24" i="14" s="1"/>
  <c r="X24" i="14" s="1"/>
  <c r="Y24" i="14" s="1"/>
  <c r="AI23" i="14"/>
  <c r="AH23" i="14"/>
  <c r="AG23" i="14"/>
  <c r="C23" i="14"/>
  <c r="G23" i="14" s="1"/>
  <c r="J23" i="14" s="1"/>
  <c r="N23" i="14" s="1"/>
  <c r="S23" i="14" s="1"/>
  <c r="W23" i="14" s="1"/>
  <c r="X23" i="14" s="1"/>
  <c r="Y23" i="14" s="1"/>
  <c r="AI22" i="14"/>
  <c r="AH22" i="14"/>
  <c r="AG22" i="14"/>
  <c r="AD22" i="14"/>
  <c r="C22" i="14"/>
  <c r="G22" i="14" s="1"/>
  <c r="J22" i="14" s="1"/>
  <c r="N22" i="14" s="1"/>
  <c r="S22" i="14" s="1"/>
  <c r="W22" i="14" s="1"/>
  <c r="X22" i="14" s="1"/>
  <c r="Y22" i="14" s="1"/>
  <c r="AI21" i="14"/>
  <c r="AH21" i="14"/>
  <c r="AG21" i="14"/>
  <c r="AD21" i="14"/>
  <c r="C21" i="14"/>
  <c r="G21" i="14" s="1"/>
  <c r="J21" i="14" s="1"/>
  <c r="N21" i="14" s="1"/>
  <c r="S21" i="14" s="1"/>
  <c r="W21" i="14" s="1"/>
  <c r="X21" i="14" s="1"/>
  <c r="Y21" i="14" s="1"/>
  <c r="AI20" i="14"/>
  <c r="AH20" i="14"/>
  <c r="AG20" i="14"/>
  <c r="AD20" i="14"/>
  <c r="C20" i="14"/>
  <c r="G20" i="14" s="1"/>
  <c r="J20" i="14" s="1"/>
  <c r="N20" i="14" s="1"/>
  <c r="S20" i="14" s="1"/>
  <c r="W20" i="14" s="1"/>
  <c r="X20" i="14" s="1"/>
  <c r="Y20" i="14" s="1"/>
  <c r="AI19" i="14"/>
  <c r="AH19" i="14"/>
  <c r="AG19" i="14"/>
  <c r="AD19" i="14"/>
  <c r="C19" i="14"/>
  <c r="G19" i="14" s="1"/>
  <c r="J19" i="14" s="1"/>
  <c r="N19" i="14" s="1"/>
  <c r="S19" i="14" s="1"/>
  <c r="W19" i="14" s="1"/>
  <c r="X19" i="14" s="1"/>
  <c r="Y19" i="14" s="1"/>
  <c r="AI18" i="14"/>
  <c r="AH18" i="14"/>
  <c r="AG18" i="14"/>
  <c r="AD18" i="14"/>
  <c r="C18" i="14"/>
  <c r="G18" i="14" s="1"/>
  <c r="J18" i="14" s="1"/>
  <c r="N18" i="14" s="1"/>
  <c r="S18" i="14" s="1"/>
  <c r="W18" i="14" s="1"/>
  <c r="X18" i="14" s="1"/>
  <c r="Y18" i="14" s="1"/>
  <c r="AI17" i="14"/>
  <c r="AH17" i="14"/>
  <c r="AG17" i="14"/>
  <c r="AD17" i="14"/>
  <c r="C17" i="14"/>
  <c r="G17" i="14" s="1"/>
  <c r="J17" i="14" s="1"/>
  <c r="AI16" i="14"/>
  <c r="AH16" i="14"/>
  <c r="AG16" i="14"/>
  <c r="AD16" i="14"/>
  <c r="C16" i="14"/>
  <c r="I16" i="14" s="1"/>
  <c r="L16" i="14" s="1"/>
  <c r="P16" i="14" s="1"/>
  <c r="U16" i="14" s="1"/>
  <c r="AI15" i="14"/>
  <c r="AH15" i="14"/>
  <c r="AG15" i="14"/>
  <c r="AD15" i="14"/>
  <c r="C15" i="14"/>
  <c r="I15" i="14" s="1"/>
  <c r="L15" i="14" s="1"/>
  <c r="P15" i="14" s="1"/>
  <c r="U15" i="14" s="1"/>
  <c r="AI14" i="14"/>
  <c r="AH14" i="14"/>
  <c r="AG14" i="14"/>
  <c r="AD14" i="14"/>
  <c r="C14" i="14"/>
  <c r="AI13" i="14"/>
  <c r="AH13" i="14"/>
  <c r="AG13" i="14"/>
  <c r="AD13" i="14"/>
  <c r="C13" i="14"/>
  <c r="I13" i="14" s="1"/>
  <c r="L13" i="14" s="1"/>
  <c r="P13" i="14" s="1"/>
  <c r="U13" i="14" s="1"/>
  <c r="AI12" i="14"/>
  <c r="AH12" i="14"/>
  <c r="AG12" i="14"/>
  <c r="AD12" i="14"/>
  <c r="C12" i="14"/>
  <c r="I12" i="14" s="1"/>
  <c r="AO11" i="14"/>
  <c r="I11" i="1" l="1"/>
  <c r="G17" i="1"/>
  <c r="D5" i="7"/>
  <c r="H157" i="19"/>
  <c r="K157" i="19"/>
  <c r="I157" i="19"/>
  <c r="H11" i="2"/>
  <c r="K11" i="2"/>
  <c r="I11" i="2"/>
  <c r="H67" i="2"/>
  <c r="I67" i="2"/>
  <c r="K67" i="2"/>
  <c r="H135" i="2"/>
  <c r="K135" i="2"/>
  <c r="I135" i="2"/>
  <c r="H190" i="2"/>
  <c r="K190" i="2"/>
  <c r="I190" i="2"/>
  <c r="H10" i="4"/>
  <c r="H16" i="4" s="1"/>
  <c r="K10" i="4"/>
  <c r="I10" i="4"/>
  <c r="H98" i="4"/>
  <c r="K98" i="4"/>
  <c r="I98" i="4"/>
  <c r="K53" i="6"/>
  <c r="I53" i="6"/>
  <c r="K198" i="8"/>
  <c r="I198" i="8"/>
  <c r="H98" i="9"/>
  <c r="I98" i="9"/>
  <c r="K98" i="9"/>
  <c r="H50" i="10"/>
  <c r="K50" i="10"/>
  <c r="I50" i="10"/>
  <c r="H246" i="10"/>
  <c r="K246" i="10"/>
  <c r="I246" i="10"/>
  <c r="H178" i="19"/>
  <c r="I178" i="19"/>
  <c r="K178" i="19"/>
  <c r="H54" i="2"/>
  <c r="I54" i="2"/>
  <c r="K54" i="2"/>
  <c r="H213" i="2"/>
  <c r="I213" i="2"/>
  <c r="K213" i="2"/>
  <c r="H25" i="4"/>
  <c r="I25" i="4"/>
  <c r="K25" i="4"/>
  <c r="H110" i="4"/>
  <c r="I110" i="4"/>
  <c r="K110" i="4"/>
  <c r="I89" i="8"/>
  <c r="K89" i="8"/>
  <c r="I160" i="8"/>
  <c r="K160" i="8"/>
  <c r="K187" i="8"/>
  <c r="I187" i="8"/>
  <c r="K199" i="8"/>
  <c r="I199" i="8"/>
  <c r="H208" i="8"/>
  <c r="I208" i="8"/>
  <c r="H60" i="9"/>
  <c r="I60" i="9"/>
  <c r="K60" i="9"/>
  <c r="H89" i="9"/>
  <c r="K89" i="9"/>
  <c r="I89" i="9"/>
  <c r="I99" i="9"/>
  <c r="K99" i="9"/>
  <c r="H112" i="9"/>
  <c r="K112" i="9"/>
  <c r="I112" i="9"/>
  <c r="H123" i="9"/>
  <c r="K123" i="9"/>
  <c r="I123" i="9"/>
  <c r="H134" i="9"/>
  <c r="K134" i="9"/>
  <c r="I134" i="9"/>
  <c r="H142" i="9"/>
  <c r="K142" i="9"/>
  <c r="I142" i="9"/>
  <c r="H154" i="9"/>
  <c r="I154" i="9"/>
  <c r="K154" i="9"/>
  <c r="K17" i="10"/>
  <c r="I17" i="10"/>
  <c r="I23" i="10" s="1"/>
  <c r="H52" i="10"/>
  <c r="I52" i="10"/>
  <c r="K52" i="10"/>
  <c r="H81" i="10"/>
  <c r="I81" i="10"/>
  <c r="K81" i="10"/>
  <c r="H95" i="10"/>
  <c r="K95" i="10"/>
  <c r="I95" i="10"/>
  <c r="H110" i="10"/>
  <c r="I110" i="10"/>
  <c r="K110" i="10"/>
  <c r="H148" i="10"/>
  <c r="K148" i="10"/>
  <c r="I148" i="10"/>
  <c r="H156" i="10"/>
  <c r="I156" i="10"/>
  <c r="K156" i="10"/>
  <c r="H181" i="10"/>
  <c r="I181" i="10"/>
  <c r="K181" i="10"/>
  <c r="H193" i="10"/>
  <c r="K193" i="10"/>
  <c r="I193" i="10"/>
  <c r="H201" i="10"/>
  <c r="K201" i="10"/>
  <c r="I201" i="10"/>
  <c r="H212" i="10"/>
  <c r="K212" i="10"/>
  <c r="I212" i="10"/>
  <c r="H220" i="10"/>
  <c r="K220" i="10"/>
  <c r="I220" i="10"/>
  <c r="H228" i="10"/>
  <c r="K228" i="10"/>
  <c r="I228" i="10"/>
  <c r="H239" i="10"/>
  <c r="I239" i="10"/>
  <c r="K239" i="10"/>
  <c r="H88" i="4"/>
  <c r="H93" i="4" s="1"/>
  <c r="K88" i="4"/>
  <c r="I88" i="4"/>
  <c r="I170" i="1"/>
  <c r="K170" i="1"/>
  <c r="H147" i="19"/>
  <c r="I147" i="19"/>
  <c r="K147" i="19"/>
  <c r="H159" i="19"/>
  <c r="K159" i="19"/>
  <c r="I159" i="19"/>
  <c r="H167" i="19"/>
  <c r="K167" i="19"/>
  <c r="I167" i="19"/>
  <c r="H179" i="19"/>
  <c r="K179" i="19"/>
  <c r="I179" i="19"/>
  <c r="H15" i="2"/>
  <c r="I15" i="2"/>
  <c r="K15" i="2"/>
  <c r="H29" i="2"/>
  <c r="I29" i="2"/>
  <c r="K29" i="2"/>
  <c r="H43" i="2"/>
  <c r="K43" i="2"/>
  <c r="I43" i="2"/>
  <c r="H57" i="2"/>
  <c r="I57" i="2"/>
  <c r="K57" i="2"/>
  <c r="H71" i="2"/>
  <c r="K71" i="2"/>
  <c r="I71" i="2"/>
  <c r="H85" i="2"/>
  <c r="I85" i="2"/>
  <c r="K85" i="2"/>
  <c r="H95" i="2"/>
  <c r="I95" i="2"/>
  <c r="K95" i="2"/>
  <c r="H129" i="2"/>
  <c r="K129" i="2"/>
  <c r="I129" i="2"/>
  <c r="H137" i="2"/>
  <c r="K137" i="2"/>
  <c r="I137" i="2"/>
  <c r="K154" i="2"/>
  <c r="I154" i="2"/>
  <c r="H162" i="2"/>
  <c r="K162" i="2"/>
  <c r="I162" i="2"/>
  <c r="H173" i="2"/>
  <c r="K173" i="2"/>
  <c r="I173" i="2"/>
  <c r="H181" i="2"/>
  <c r="K181" i="2"/>
  <c r="I181" i="2"/>
  <c r="H192" i="2"/>
  <c r="K192" i="2"/>
  <c r="I192" i="2"/>
  <c r="H200" i="2"/>
  <c r="I200" i="2"/>
  <c r="K200" i="2"/>
  <c r="H214" i="2"/>
  <c r="I214" i="2"/>
  <c r="K214" i="2"/>
  <c r="H222" i="2"/>
  <c r="I222" i="2"/>
  <c r="K222" i="2"/>
  <c r="H12" i="4"/>
  <c r="K12" i="4"/>
  <c r="I12" i="4"/>
  <c r="H26" i="4"/>
  <c r="K26" i="4"/>
  <c r="I26" i="4"/>
  <c r="H38" i="4"/>
  <c r="K38" i="4"/>
  <c r="I38" i="4"/>
  <c r="H75" i="4"/>
  <c r="I75" i="4"/>
  <c r="K75" i="4"/>
  <c r="H89" i="4"/>
  <c r="I89" i="4"/>
  <c r="K89" i="4"/>
  <c r="K103" i="4"/>
  <c r="I103" i="4"/>
  <c r="H111" i="4"/>
  <c r="K111" i="4"/>
  <c r="I111" i="4"/>
  <c r="H123" i="4"/>
  <c r="K123" i="4"/>
  <c r="I123" i="4"/>
  <c r="K19" i="6"/>
  <c r="I19" i="6"/>
  <c r="I33" i="6"/>
  <c r="K33" i="6"/>
  <c r="K47" i="6"/>
  <c r="I47" i="6"/>
  <c r="I58" i="6"/>
  <c r="K58" i="6"/>
  <c r="K67" i="8"/>
  <c r="I67" i="8"/>
  <c r="K82" i="8"/>
  <c r="I82" i="8"/>
  <c r="H90" i="8"/>
  <c r="K90" i="8"/>
  <c r="I90" i="8"/>
  <c r="K119" i="8"/>
  <c r="I119" i="8"/>
  <c r="I127" i="8"/>
  <c r="K127" i="8"/>
  <c r="K142" i="8"/>
  <c r="I142" i="8"/>
  <c r="K150" i="8"/>
  <c r="I150" i="8"/>
  <c r="K161" i="8"/>
  <c r="I161" i="8"/>
  <c r="K172" i="8"/>
  <c r="I172" i="8"/>
  <c r="K180" i="8"/>
  <c r="I180" i="8"/>
  <c r="K188" i="8"/>
  <c r="I188" i="8"/>
  <c r="K200" i="8"/>
  <c r="I200" i="8"/>
  <c r="K214" i="8"/>
  <c r="I214" i="8"/>
  <c r="H24" i="9"/>
  <c r="I24" i="9"/>
  <c r="K24" i="9"/>
  <c r="H38" i="9"/>
  <c r="K38" i="9"/>
  <c r="I38" i="9"/>
  <c r="H53" i="9"/>
  <c r="K53" i="9"/>
  <c r="I53" i="9"/>
  <c r="H61" i="9"/>
  <c r="K61" i="9"/>
  <c r="I61" i="9"/>
  <c r="H90" i="9"/>
  <c r="K90" i="9"/>
  <c r="I90" i="9"/>
  <c r="H100" i="9"/>
  <c r="I100" i="9"/>
  <c r="K100" i="9"/>
  <c r="H113" i="9"/>
  <c r="I113" i="9"/>
  <c r="K113" i="9"/>
  <c r="H135" i="9"/>
  <c r="K135" i="9"/>
  <c r="I135" i="9"/>
  <c r="H143" i="9"/>
  <c r="K143" i="9"/>
  <c r="I143" i="9"/>
  <c r="H155" i="9"/>
  <c r="I155" i="9"/>
  <c r="K155" i="9"/>
  <c r="I24" i="10"/>
  <c r="I30" i="10" s="1"/>
  <c r="K24" i="10"/>
  <c r="H53" i="10"/>
  <c r="K53" i="10"/>
  <c r="I53" i="10"/>
  <c r="H82" i="10"/>
  <c r="I82" i="10"/>
  <c r="K82" i="10"/>
  <c r="H96" i="10"/>
  <c r="I96" i="10"/>
  <c r="K96" i="10"/>
  <c r="H111" i="10"/>
  <c r="K111" i="10"/>
  <c r="I111" i="10"/>
  <c r="H149" i="10"/>
  <c r="K149" i="10"/>
  <c r="I149" i="10"/>
  <c r="H157" i="10"/>
  <c r="K157" i="10"/>
  <c r="I157" i="10"/>
  <c r="H172" i="10"/>
  <c r="K172" i="10"/>
  <c r="I172" i="10"/>
  <c r="H182" i="10"/>
  <c r="K182" i="10"/>
  <c r="I182" i="10"/>
  <c r="H194" i="10"/>
  <c r="K194" i="10"/>
  <c r="I194" i="10"/>
  <c r="H202" i="10"/>
  <c r="K202" i="10"/>
  <c r="I202" i="10"/>
  <c r="H213" i="10"/>
  <c r="K213" i="10"/>
  <c r="I213" i="10"/>
  <c r="H221" i="10"/>
  <c r="K221" i="10"/>
  <c r="I221" i="10"/>
  <c r="H229" i="10"/>
  <c r="K229" i="10"/>
  <c r="I229" i="10"/>
  <c r="H240" i="10"/>
  <c r="K240" i="10"/>
  <c r="I240" i="10"/>
  <c r="H248" i="10"/>
  <c r="K248" i="10"/>
  <c r="I248" i="10"/>
  <c r="H140" i="19"/>
  <c r="H149" i="19" s="1"/>
  <c r="K140" i="19"/>
  <c r="I140" i="19"/>
  <c r="H152" i="19"/>
  <c r="I152" i="19"/>
  <c r="K152" i="19"/>
  <c r="H160" i="19"/>
  <c r="I160" i="19"/>
  <c r="K160" i="19"/>
  <c r="H168" i="19"/>
  <c r="I168" i="19"/>
  <c r="K168" i="19"/>
  <c r="H180" i="19"/>
  <c r="I180" i="19"/>
  <c r="K180" i="19"/>
  <c r="K17" i="2"/>
  <c r="I17" i="2"/>
  <c r="K31" i="2"/>
  <c r="I31" i="2"/>
  <c r="I45" i="2"/>
  <c r="K45" i="2"/>
  <c r="K59" i="2"/>
  <c r="I59" i="2"/>
  <c r="I73" i="2"/>
  <c r="K73" i="2"/>
  <c r="K88" i="2"/>
  <c r="I88" i="2"/>
  <c r="H96" i="2"/>
  <c r="I96" i="2"/>
  <c r="K96" i="2"/>
  <c r="H130" i="2"/>
  <c r="K130" i="2"/>
  <c r="I130" i="2"/>
  <c r="H140" i="2"/>
  <c r="K140" i="2"/>
  <c r="I140" i="2"/>
  <c r="H155" i="2"/>
  <c r="K155" i="2"/>
  <c r="I155" i="2"/>
  <c r="H163" i="2"/>
  <c r="K163" i="2"/>
  <c r="I163" i="2"/>
  <c r="H174" i="2"/>
  <c r="K174" i="2"/>
  <c r="I174" i="2"/>
  <c r="H182" i="2"/>
  <c r="K182" i="2"/>
  <c r="I182" i="2"/>
  <c r="H193" i="2"/>
  <c r="K193" i="2"/>
  <c r="I193" i="2"/>
  <c r="H201" i="2"/>
  <c r="K201" i="2"/>
  <c r="I201" i="2"/>
  <c r="H215" i="2"/>
  <c r="K215" i="2"/>
  <c r="I215" i="2"/>
  <c r="H223" i="2"/>
  <c r="K223" i="2"/>
  <c r="I223" i="2"/>
  <c r="K82" i="3"/>
  <c r="I82" i="3"/>
  <c r="H15" i="4"/>
  <c r="K15" i="4"/>
  <c r="I15" i="4"/>
  <c r="H29" i="4"/>
  <c r="K29" i="4"/>
  <c r="I29" i="4"/>
  <c r="H39" i="4"/>
  <c r="I39" i="4"/>
  <c r="H76" i="4"/>
  <c r="K76" i="4"/>
  <c r="I76" i="4"/>
  <c r="H90" i="4"/>
  <c r="K90" i="4"/>
  <c r="I90" i="4"/>
  <c r="H104" i="4"/>
  <c r="I104" i="4"/>
  <c r="K104" i="4"/>
  <c r="H112" i="4"/>
  <c r="I112" i="4"/>
  <c r="K112" i="4"/>
  <c r="I20" i="6"/>
  <c r="K20" i="6"/>
  <c r="K34" i="6"/>
  <c r="I34" i="6"/>
  <c r="K48" i="6"/>
  <c r="I48" i="6"/>
  <c r="K68" i="8"/>
  <c r="I68" i="8"/>
  <c r="I83" i="8"/>
  <c r="K83" i="8"/>
  <c r="H94" i="8"/>
  <c r="K94" i="8"/>
  <c r="I94" i="8"/>
  <c r="I113" i="8" s="1"/>
  <c r="I120" i="8"/>
  <c r="K120" i="8"/>
  <c r="K130" i="8"/>
  <c r="I130" i="8"/>
  <c r="K143" i="8"/>
  <c r="I143" i="8"/>
  <c r="K151" i="8"/>
  <c r="I151" i="8"/>
  <c r="K162" i="8"/>
  <c r="I162" i="8"/>
  <c r="K173" i="8"/>
  <c r="I173" i="8"/>
  <c r="K181" i="8"/>
  <c r="I181" i="8"/>
  <c r="I201" i="8"/>
  <c r="K201" i="8"/>
  <c r="H11" i="9"/>
  <c r="I11" i="9"/>
  <c r="K11" i="9"/>
  <c r="H25" i="9"/>
  <c r="K25" i="9"/>
  <c r="I25" i="9"/>
  <c r="H39" i="9"/>
  <c r="I39" i="9"/>
  <c r="K39" i="9"/>
  <c r="H54" i="9"/>
  <c r="K54" i="9"/>
  <c r="I54" i="9"/>
  <c r="H65" i="9"/>
  <c r="H84" i="9" s="1"/>
  <c r="I65" i="9"/>
  <c r="I84" i="9" s="1"/>
  <c r="K65" i="9"/>
  <c r="H91" i="9"/>
  <c r="K91" i="9"/>
  <c r="I91" i="9"/>
  <c r="H102" i="9"/>
  <c r="K102" i="9"/>
  <c r="I102" i="9"/>
  <c r="H114" i="9"/>
  <c r="K114" i="9"/>
  <c r="I114" i="9"/>
  <c r="H125" i="9"/>
  <c r="I125" i="9"/>
  <c r="K125" i="9"/>
  <c r="H136" i="9"/>
  <c r="I136" i="9"/>
  <c r="K136" i="9"/>
  <c r="H156" i="9"/>
  <c r="I156" i="9"/>
  <c r="K156" i="9"/>
  <c r="I31" i="10"/>
  <c r="I37" i="10" s="1"/>
  <c r="K31" i="10"/>
  <c r="H54" i="10"/>
  <c r="K54" i="10"/>
  <c r="I54" i="10"/>
  <c r="H85" i="10"/>
  <c r="K85" i="10"/>
  <c r="I85" i="10"/>
  <c r="H99" i="10"/>
  <c r="I99" i="10"/>
  <c r="K99" i="10"/>
  <c r="H112" i="10"/>
  <c r="K112" i="10"/>
  <c r="I112" i="10"/>
  <c r="K142" i="10"/>
  <c r="I142" i="10"/>
  <c r="H150" i="10"/>
  <c r="K150" i="10"/>
  <c r="I150" i="10"/>
  <c r="H160" i="10"/>
  <c r="K160" i="10"/>
  <c r="I160" i="10"/>
  <c r="H173" i="10"/>
  <c r="K173" i="10"/>
  <c r="I173" i="10"/>
  <c r="H184" i="10"/>
  <c r="K184" i="10"/>
  <c r="I184" i="10"/>
  <c r="H195" i="10"/>
  <c r="K195" i="10"/>
  <c r="I195" i="10"/>
  <c r="H203" i="10"/>
  <c r="K203" i="10"/>
  <c r="I203" i="10"/>
  <c r="H214" i="10"/>
  <c r="K214" i="10"/>
  <c r="I214" i="10"/>
  <c r="H222" i="10"/>
  <c r="K222" i="10"/>
  <c r="I222" i="10"/>
  <c r="H241" i="10"/>
  <c r="I241" i="10"/>
  <c r="K241" i="10"/>
  <c r="H249" i="10"/>
  <c r="I249" i="10"/>
  <c r="K249" i="10"/>
  <c r="H177" i="19"/>
  <c r="K177" i="19"/>
  <c r="I177" i="19"/>
  <c r="H25" i="2"/>
  <c r="K25" i="2"/>
  <c r="I25" i="2"/>
  <c r="H81" i="2"/>
  <c r="K81" i="2"/>
  <c r="I81" i="2"/>
  <c r="H179" i="2"/>
  <c r="K179" i="2"/>
  <c r="I179" i="2"/>
  <c r="H220" i="2"/>
  <c r="K220" i="2"/>
  <c r="I220" i="2"/>
  <c r="H109" i="4"/>
  <c r="K109" i="4"/>
  <c r="I109" i="4"/>
  <c r="K16" i="6"/>
  <c r="I16" i="6"/>
  <c r="K117" i="8"/>
  <c r="I117" i="8"/>
  <c r="I167" i="8"/>
  <c r="K167" i="8"/>
  <c r="H207" i="8"/>
  <c r="I207" i="8"/>
  <c r="H33" i="9"/>
  <c r="I33" i="9"/>
  <c r="K33" i="9"/>
  <c r="H88" i="9"/>
  <c r="K88" i="9"/>
  <c r="I88" i="9"/>
  <c r="H122" i="9"/>
  <c r="I122" i="9"/>
  <c r="K122" i="9"/>
  <c r="H153" i="9"/>
  <c r="I153" i="9"/>
  <c r="K153" i="9"/>
  <c r="H94" i="10"/>
  <c r="K94" i="10"/>
  <c r="I94" i="10"/>
  <c r="H147" i="10"/>
  <c r="K147" i="10"/>
  <c r="I147" i="10"/>
  <c r="H200" i="10"/>
  <c r="K200" i="10"/>
  <c r="I200" i="10"/>
  <c r="H146" i="19"/>
  <c r="K146" i="19"/>
  <c r="I146" i="19"/>
  <c r="H12" i="2"/>
  <c r="K12" i="2"/>
  <c r="I12" i="2"/>
  <c r="H94" i="2"/>
  <c r="K94" i="2"/>
  <c r="I94" i="2"/>
  <c r="H180" i="2"/>
  <c r="K180" i="2"/>
  <c r="I180" i="2"/>
  <c r="H72" i="4"/>
  <c r="K72" i="4"/>
  <c r="I72" i="4"/>
  <c r="H315" i="5"/>
  <c r="I315" i="5"/>
  <c r="K149" i="8"/>
  <c r="I149" i="8"/>
  <c r="H50" i="9"/>
  <c r="K50" i="9"/>
  <c r="I50" i="9"/>
  <c r="H247" i="10"/>
  <c r="I247" i="10"/>
  <c r="K247" i="10"/>
  <c r="H141" i="19"/>
  <c r="I141" i="19"/>
  <c r="K141" i="19"/>
  <c r="H153" i="19"/>
  <c r="H170" i="19" s="1"/>
  <c r="K153" i="19"/>
  <c r="I153" i="19"/>
  <c r="H161" i="19"/>
  <c r="K161" i="19"/>
  <c r="I161" i="19"/>
  <c r="H173" i="19"/>
  <c r="K173" i="19"/>
  <c r="I173" i="19"/>
  <c r="K181" i="19"/>
  <c r="I181" i="19"/>
  <c r="H18" i="2"/>
  <c r="I18" i="2"/>
  <c r="K18" i="2"/>
  <c r="H32" i="2"/>
  <c r="K32" i="2"/>
  <c r="I32" i="2"/>
  <c r="H46" i="2"/>
  <c r="K46" i="2"/>
  <c r="I46" i="2"/>
  <c r="H60" i="2"/>
  <c r="K60" i="2"/>
  <c r="I60" i="2"/>
  <c r="H74" i="2"/>
  <c r="K74" i="2"/>
  <c r="I74" i="2"/>
  <c r="H89" i="2"/>
  <c r="K89" i="2"/>
  <c r="I89" i="2"/>
  <c r="H131" i="2"/>
  <c r="K131" i="2"/>
  <c r="I131" i="2"/>
  <c r="H141" i="2"/>
  <c r="K141" i="2"/>
  <c r="I141" i="2"/>
  <c r="H156" i="2"/>
  <c r="K156" i="2"/>
  <c r="I156" i="2"/>
  <c r="H164" i="2"/>
  <c r="K164" i="2"/>
  <c r="I164" i="2"/>
  <c r="H175" i="2"/>
  <c r="K175" i="2"/>
  <c r="I175" i="2"/>
  <c r="K186" i="2"/>
  <c r="I186" i="2"/>
  <c r="H194" i="2"/>
  <c r="K194" i="2"/>
  <c r="I194" i="2"/>
  <c r="H202" i="2"/>
  <c r="I202" i="2"/>
  <c r="K202" i="2"/>
  <c r="H216" i="2"/>
  <c r="K216" i="2"/>
  <c r="I216" i="2"/>
  <c r="H224" i="2"/>
  <c r="I224" i="2"/>
  <c r="H17" i="4"/>
  <c r="K17" i="4"/>
  <c r="I17" i="4"/>
  <c r="H32" i="4"/>
  <c r="K32" i="4"/>
  <c r="I32" i="4"/>
  <c r="H40" i="4"/>
  <c r="I40" i="4"/>
  <c r="K40" i="4"/>
  <c r="I77" i="4"/>
  <c r="K77" i="4"/>
  <c r="H92" i="4"/>
  <c r="K92" i="4"/>
  <c r="I92" i="4"/>
  <c r="H105" i="4"/>
  <c r="K105" i="4"/>
  <c r="I105" i="4"/>
  <c r="H113" i="4"/>
  <c r="K113" i="4"/>
  <c r="I113" i="4"/>
  <c r="H125" i="4"/>
  <c r="I125" i="4"/>
  <c r="H322" i="5"/>
  <c r="K322" i="5"/>
  <c r="I322" i="5"/>
  <c r="I23" i="6"/>
  <c r="K23" i="6"/>
  <c r="K37" i="6"/>
  <c r="I37" i="6"/>
  <c r="K49" i="6"/>
  <c r="I49" i="6"/>
  <c r="I69" i="8"/>
  <c r="K69" i="8"/>
  <c r="K84" i="8"/>
  <c r="I84" i="8"/>
  <c r="K121" i="8"/>
  <c r="I121" i="8"/>
  <c r="K131" i="8"/>
  <c r="I131" i="8"/>
  <c r="K144" i="8"/>
  <c r="I144" i="8"/>
  <c r="K152" i="8"/>
  <c r="I152" i="8"/>
  <c r="K163" i="8"/>
  <c r="I163" i="8"/>
  <c r="K174" i="8"/>
  <c r="I174" i="8"/>
  <c r="K182" i="8"/>
  <c r="I182" i="8"/>
  <c r="K202" i="8"/>
  <c r="I202" i="8"/>
  <c r="H12" i="9"/>
  <c r="K12" i="9"/>
  <c r="I12" i="9"/>
  <c r="H26" i="9"/>
  <c r="K26" i="9"/>
  <c r="I26" i="9"/>
  <c r="H40" i="9"/>
  <c r="I40" i="9"/>
  <c r="K40" i="9"/>
  <c r="H55" i="9"/>
  <c r="K55" i="9"/>
  <c r="I55" i="9"/>
  <c r="H92" i="9"/>
  <c r="K92" i="9"/>
  <c r="I92" i="9"/>
  <c r="H115" i="9"/>
  <c r="K115" i="9"/>
  <c r="I115" i="9"/>
  <c r="H126" i="9"/>
  <c r="K126" i="9"/>
  <c r="I126" i="9"/>
  <c r="H137" i="9"/>
  <c r="K137" i="9"/>
  <c r="I137" i="9"/>
  <c r="H157" i="9"/>
  <c r="I157" i="9"/>
  <c r="K38" i="10"/>
  <c r="I38" i="10"/>
  <c r="I44" i="10" s="1"/>
  <c r="H57" i="10"/>
  <c r="I57" i="10"/>
  <c r="K57" i="10"/>
  <c r="H87" i="10"/>
  <c r="H93" i="10" s="1"/>
  <c r="I87" i="10"/>
  <c r="K87" i="10"/>
  <c r="H101" i="10"/>
  <c r="H107" i="10" s="1"/>
  <c r="I101" i="10"/>
  <c r="K101" i="10"/>
  <c r="H113" i="10"/>
  <c r="I113" i="10"/>
  <c r="K113" i="10"/>
  <c r="H143" i="10"/>
  <c r="K143" i="10"/>
  <c r="I143" i="10"/>
  <c r="H151" i="10"/>
  <c r="K151" i="10"/>
  <c r="I151" i="10"/>
  <c r="H161" i="10"/>
  <c r="K161" i="10"/>
  <c r="I161" i="10"/>
  <c r="H174" i="10"/>
  <c r="K174" i="10"/>
  <c r="I174" i="10"/>
  <c r="H185" i="10"/>
  <c r="I185" i="10"/>
  <c r="K185" i="10"/>
  <c r="H196" i="10"/>
  <c r="K196" i="10"/>
  <c r="I196" i="10"/>
  <c r="H204" i="10"/>
  <c r="K204" i="10"/>
  <c r="I204" i="10"/>
  <c r="H215" i="10"/>
  <c r="K215" i="10"/>
  <c r="I215" i="10"/>
  <c r="H223" i="10"/>
  <c r="I223" i="10"/>
  <c r="K223" i="10"/>
  <c r="H231" i="10"/>
  <c r="I231" i="10"/>
  <c r="H242" i="10"/>
  <c r="K242" i="10"/>
  <c r="I242" i="10"/>
  <c r="H250" i="10"/>
  <c r="I250" i="10"/>
  <c r="H148" i="19"/>
  <c r="K148" i="19"/>
  <c r="I148" i="19"/>
  <c r="H142" i="19"/>
  <c r="K142" i="19"/>
  <c r="I142" i="19"/>
  <c r="H154" i="19"/>
  <c r="I154" i="19"/>
  <c r="K154" i="19"/>
  <c r="H162" i="19"/>
  <c r="I162" i="19"/>
  <c r="K162" i="19"/>
  <c r="H174" i="19"/>
  <c r="I174" i="19"/>
  <c r="K174" i="19"/>
  <c r="H19" i="2"/>
  <c r="K19" i="2"/>
  <c r="I19" i="2"/>
  <c r="H33" i="2"/>
  <c r="K33" i="2"/>
  <c r="I33" i="2"/>
  <c r="H47" i="2"/>
  <c r="K47" i="2"/>
  <c r="I47" i="2"/>
  <c r="H61" i="2"/>
  <c r="K61" i="2"/>
  <c r="I61" i="2"/>
  <c r="H75" i="2"/>
  <c r="K75" i="2"/>
  <c r="I75" i="2"/>
  <c r="H90" i="2"/>
  <c r="I90" i="2"/>
  <c r="K90" i="2"/>
  <c r="H132" i="2"/>
  <c r="K132" i="2"/>
  <c r="I132" i="2"/>
  <c r="K142" i="2"/>
  <c r="I142" i="2"/>
  <c r="H157" i="2"/>
  <c r="K157" i="2"/>
  <c r="I157" i="2"/>
  <c r="H165" i="2"/>
  <c r="K165" i="2"/>
  <c r="I165" i="2"/>
  <c r="H176" i="2"/>
  <c r="K176" i="2"/>
  <c r="I176" i="2"/>
  <c r="H187" i="2"/>
  <c r="K187" i="2"/>
  <c r="I187" i="2"/>
  <c r="H195" i="2"/>
  <c r="K195" i="2"/>
  <c r="I195" i="2"/>
  <c r="H203" i="2"/>
  <c r="I203" i="2"/>
  <c r="K203" i="2"/>
  <c r="H217" i="2"/>
  <c r="I217" i="2"/>
  <c r="K217" i="2"/>
  <c r="H18" i="4"/>
  <c r="K18" i="4"/>
  <c r="I18" i="4"/>
  <c r="H33" i="4"/>
  <c r="K33" i="4"/>
  <c r="I33" i="4"/>
  <c r="H68" i="4"/>
  <c r="K68" i="4"/>
  <c r="I68" i="4"/>
  <c r="H78" i="4"/>
  <c r="K78" i="4"/>
  <c r="I78" i="4"/>
  <c r="H95" i="4"/>
  <c r="I95" i="4"/>
  <c r="K95" i="4"/>
  <c r="H106" i="4"/>
  <c r="I106" i="4"/>
  <c r="K106" i="4"/>
  <c r="H114" i="4"/>
  <c r="I114" i="4"/>
  <c r="K114" i="4"/>
  <c r="G130" i="4"/>
  <c r="G136" i="4" s="1"/>
  <c r="K128" i="4"/>
  <c r="I128" i="4"/>
  <c r="I130" i="4" s="1"/>
  <c r="K11" i="6"/>
  <c r="I11" i="6"/>
  <c r="K25" i="6"/>
  <c r="I25" i="6"/>
  <c r="I39" i="6"/>
  <c r="K39" i="6"/>
  <c r="I50" i="6"/>
  <c r="K50" i="6"/>
  <c r="H76" i="6"/>
  <c r="I76" i="6"/>
  <c r="K72" i="8"/>
  <c r="I72" i="8"/>
  <c r="K85" i="8"/>
  <c r="I85" i="8"/>
  <c r="K122" i="8"/>
  <c r="I122" i="8"/>
  <c r="K132" i="8"/>
  <c r="I132" i="8"/>
  <c r="K145" i="8"/>
  <c r="I145" i="8"/>
  <c r="K154" i="8"/>
  <c r="I154" i="8"/>
  <c r="I164" i="8"/>
  <c r="K164" i="8"/>
  <c r="K175" i="8"/>
  <c r="I175" i="8"/>
  <c r="K183" i="8"/>
  <c r="I183" i="8"/>
  <c r="K195" i="8"/>
  <c r="I195" i="8"/>
  <c r="K203" i="8"/>
  <c r="I203" i="8"/>
  <c r="H15" i="9"/>
  <c r="K15" i="9"/>
  <c r="I15" i="9"/>
  <c r="H29" i="9"/>
  <c r="I29" i="9"/>
  <c r="K29" i="9"/>
  <c r="H43" i="9"/>
  <c r="K43" i="9"/>
  <c r="I43" i="9"/>
  <c r="H56" i="9"/>
  <c r="K56" i="9"/>
  <c r="I56" i="9"/>
  <c r="H93" i="9"/>
  <c r="I93" i="9"/>
  <c r="K93" i="9"/>
  <c r="H117" i="9"/>
  <c r="I117" i="9"/>
  <c r="K117" i="9"/>
  <c r="H127" i="9"/>
  <c r="K127" i="9"/>
  <c r="I127" i="9"/>
  <c r="H138" i="9"/>
  <c r="K138" i="9"/>
  <c r="I138" i="9"/>
  <c r="H150" i="9"/>
  <c r="K150" i="9"/>
  <c r="I150" i="9"/>
  <c r="H158" i="9"/>
  <c r="I158" i="9"/>
  <c r="H45" i="10"/>
  <c r="K45" i="10"/>
  <c r="I45" i="10"/>
  <c r="I51" i="10" s="1"/>
  <c r="K59" i="10"/>
  <c r="I59" i="10"/>
  <c r="I65" i="10" s="1"/>
  <c r="H88" i="10"/>
  <c r="K88" i="10"/>
  <c r="I88" i="10"/>
  <c r="H102" i="10"/>
  <c r="K102" i="10"/>
  <c r="I102" i="10"/>
  <c r="H114" i="10"/>
  <c r="K114" i="10"/>
  <c r="I114" i="10"/>
  <c r="H144" i="10"/>
  <c r="I144" i="10"/>
  <c r="K144" i="10"/>
  <c r="H152" i="10"/>
  <c r="K152" i="10"/>
  <c r="I152" i="10"/>
  <c r="K162" i="10"/>
  <c r="I162" i="10"/>
  <c r="H176" i="10"/>
  <c r="K176" i="10"/>
  <c r="I176" i="10"/>
  <c r="H187" i="10"/>
  <c r="K187" i="10"/>
  <c r="I187" i="10"/>
  <c r="H197" i="10"/>
  <c r="K197" i="10"/>
  <c r="I197" i="10"/>
  <c r="H216" i="10"/>
  <c r="K216" i="10"/>
  <c r="I216" i="10"/>
  <c r="H224" i="10"/>
  <c r="K224" i="10"/>
  <c r="I224" i="10"/>
  <c r="H235" i="10"/>
  <c r="I235" i="10"/>
  <c r="K235" i="10"/>
  <c r="H243" i="10"/>
  <c r="I243" i="10"/>
  <c r="K243" i="10"/>
  <c r="H251" i="10"/>
  <c r="I251" i="10"/>
  <c r="H171" i="10"/>
  <c r="K171" i="10"/>
  <c r="I171" i="10"/>
  <c r="H145" i="19"/>
  <c r="I145" i="19"/>
  <c r="K145" i="19"/>
  <c r="H190" i="19"/>
  <c r="K190" i="19"/>
  <c r="I190" i="19"/>
  <c r="H39" i="2"/>
  <c r="I39" i="2"/>
  <c r="K39" i="2"/>
  <c r="H93" i="2"/>
  <c r="K93" i="2"/>
  <c r="I93" i="2"/>
  <c r="H160" i="2"/>
  <c r="K160" i="2"/>
  <c r="I160" i="2"/>
  <c r="K212" i="2"/>
  <c r="I212" i="2"/>
  <c r="H36" i="4"/>
  <c r="K36" i="4"/>
  <c r="I36" i="4"/>
  <c r="H71" i="4"/>
  <c r="I71" i="4"/>
  <c r="K71" i="4"/>
  <c r="H121" i="4"/>
  <c r="K121" i="4"/>
  <c r="I121" i="4"/>
  <c r="H159" i="5"/>
  <c r="K159" i="5"/>
  <c r="I159" i="5"/>
  <c r="I176" i="5" s="1"/>
  <c r="K30" i="6"/>
  <c r="I30" i="6"/>
  <c r="K76" i="8"/>
  <c r="I76" i="8"/>
  <c r="K125" i="8"/>
  <c r="I125" i="8"/>
  <c r="K159" i="8"/>
  <c r="I159" i="8"/>
  <c r="K186" i="8"/>
  <c r="I186" i="8"/>
  <c r="H47" i="9"/>
  <c r="H51" i="9" s="1"/>
  <c r="K47" i="9"/>
  <c r="I47" i="9"/>
  <c r="H111" i="9"/>
  <c r="K111" i="9"/>
  <c r="I111" i="9"/>
  <c r="H141" i="9"/>
  <c r="K141" i="9"/>
  <c r="I141" i="9"/>
  <c r="H80" i="10"/>
  <c r="K80" i="10"/>
  <c r="I80" i="10"/>
  <c r="H117" i="10"/>
  <c r="K117" i="10"/>
  <c r="I117" i="10"/>
  <c r="H155" i="10"/>
  <c r="K155" i="10"/>
  <c r="I155" i="10"/>
  <c r="H192" i="10"/>
  <c r="K192" i="10"/>
  <c r="I192" i="10"/>
  <c r="H219" i="10"/>
  <c r="I219" i="10"/>
  <c r="K219" i="10"/>
  <c r="H227" i="10"/>
  <c r="K227" i="10"/>
  <c r="I227" i="10"/>
  <c r="H183" i="10"/>
  <c r="H188" i="10" s="1"/>
  <c r="K183" i="10"/>
  <c r="I183" i="10"/>
  <c r="H158" i="19"/>
  <c r="I158" i="19"/>
  <c r="K158" i="19"/>
  <c r="H26" i="2"/>
  <c r="I26" i="2"/>
  <c r="K26" i="2"/>
  <c r="H68" i="2"/>
  <c r="K68" i="2"/>
  <c r="I68" i="2"/>
  <c r="H128" i="2"/>
  <c r="K128" i="2"/>
  <c r="I128" i="2"/>
  <c r="H161" i="2"/>
  <c r="K161" i="2"/>
  <c r="I161" i="2"/>
  <c r="H191" i="2"/>
  <c r="K191" i="2"/>
  <c r="I191" i="2"/>
  <c r="H221" i="2"/>
  <c r="I221" i="2"/>
  <c r="K221" i="2"/>
  <c r="K80" i="3"/>
  <c r="I80" i="3"/>
  <c r="H87" i="4"/>
  <c r="I87" i="4"/>
  <c r="K87" i="4"/>
  <c r="H122" i="4"/>
  <c r="I122" i="4"/>
  <c r="K122" i="4"/>
  <c r="I18" i="6"/>
  <c r="K18" i="6"/>
  <c r="K46" i="6"/>
  <c r="I46" i="6"/>
  <c r="K79" i="8"/>
  <c r="I79" i="8"/>
  <c r="K118" i="8"/>
  <c r="I118" i="8"/>
  <c r="I168" i="8"/>
  <c r="K168" i="8"/>
  <c r="H22" i="9"/>
  <c r="K22" i="9"/>
  <c r="I22" i="9"/>
  <c r="G142" i="1"/>
  <c r="K121" i="1"/>
  <c r="I121" i="1"/>
  <c r="I142" i="1" s="1"/>
  <c r="H143" i="19"/>
  <c r="I143" i="19"/>
  <c r="K143" i="19"/>
  <c r="H155" i="19"/>
  <c r="K155" i="19"/>
  <c r="I155" i="19"/>
  <c r="H163" i="19"/>
  <c r="J163" i="19" s="1"/>
  <c r="J170" i="19" s="1"/>
  <c r="J196" i="19" s="1"/>
  <c r="F13" i="27" s="1"/>
  <c r="F15" i="27" s="1"/>
  <c r="K163" i="19"/>
  <c r="I163" i="19"/>
  <c r="H175" i="19"/>
  <c r="K175" i="19"/>
  <c r="I175" i="19"/>
  <c r="H22" i="2"/>
  <c r="K22" i="2"/>
  <c r="I22" i="2"/>
  <c r="H36" i="2"/>
  <c r="K36" i="2"/>
  <c r="I36" i="2"/>
  <c r="H50" i="2"/>
  <c r="K50" i="2"/>
  <c r="I50" i="2"/>
  <c r="H64" i="2"/>
  <c r="K64" i="2"/>
  <c r="I64" i="2"/>
  <c r="H78" i="2"/>
  <c r="K78" i="2"/>
  <c r="I78" i="2"/>
  <c r="H91" i="2"/>
  <c r="K91" i="2"/>
  <c r="I91" i="2"/>
  <c r="K125" i="2"/>
  <c r="I125" i="2"/>
  <c r="H133" i="2"/>
  <c r="K133" i="2"/>
  <c r="I133" i="2"/>
  <c r="H143" i="2"/>
  <c r="K143" i="2"/>
  <c r="I143" i="2"/>
  <c r="H158" i="2"/>
  <c r="K158" i="2"/>
  <c r="I158" i="2"/>
  <c r="H167" i="2"/>
  <c r="K167" i="2"/>
  <c r="I167" i="2"/>
  <c r="H177" i="2"/>
  <c r="K177" i="2"/>
  <c r="I177" i="2"/>
  <c r="H188" i="2"/>
  <c r="K188" i="2"/>
  <c r="I188" i="2"/>
  <c r="H196" i="2"/>
  <c r="K196" i="2"/>
  <c r="I196" i="2"/>
  <c r="H204" i="2"/>
  <c r="I204" i="2"/>
  <c r="K204" i="2"/>
  <c r="H218" i="2"/>
  <c r="I218" i="2"/>
  <c r="K218" i="2"/>
  <c r="H19" i="4"/>
  <c r="K19" i="4"/>
  <c r="I19" i="4"/>
  <c r="H34" i="4"/>
  <c r="I34" i="4"/>
  <c r="K34" i="4"/>
  <c r="H69" i="4"/>
  <c r="I69" i="4"/>
  <c r="K69" i="4"/>
  <c r="H80" i="4"/>
  <c r="K80" i="4"/>
  <c r="I80" i="4"/>
  <c r="H96" i="4"/>
  <c r="K96" i="4"/>
  <c r="I96" i="4"/>
  <c r="H107" i="4"/>
  <c r="K107" i="4"/>
  <c r="I107" i="4"/>
  <c r="H119" i="4"/>
  <c r="K119" i="4"/>
  <c r="I119" i="4"/>
  <c r="H131" i="4"/>
  <c r="I131" i="4"/>
  <c r="K131" i="4"/>
  <c r="K12" i="6"/>
  <c r="I12" i="6"/>
  <c r="K26" i="6"/>
  <c r="I26" i="6"/>
  <c r="K40" i="6"/>
  <c r="I40" i="6"/>
  <c r="K51" i="6"/>
  <c r="I51" i="6"/>
  <c r="K74" i="8"/>
  <c r="I74" i="8"/>
  <c r="I86" i="8"/>
  <c r="K86" i="8"/>
  <c r="K123" i="8"/>
  <c r="I123" i="8"/>
  <c r="K133" i="8"/>
  <c r="I133" i="8"/>
  <c r="K146" i="8"/>
  <c r="I146" i="8"/>
  <c r="K157" i="8"/>
  <c r="I157" i="8"/>
  <c r="K165" i="8"/>
  <c r="I165" i="8"/>
  <c r="K176" i="8"/>
  <c r="I176" i="8"/>
  <c r="K184" i="8"/>
  <c r="I184" i="8"/>
  <c r="K196" i="8"/>
  <c r="I196" i="8"/>
  <c r="K205" i="8"/>
  <c r="I205" i="8"/>
  <c r="H17" i="9"/>
  <c r="K17" i="9"/>
  <c r="I17" i="9"/>
  <c r="H31" i="9"/>
  <c r="K31" i="9"/>
  <c r="I31" i="9"/>
  <c r="H45" i="9"/>
  <c r="K45" i="9"/>
  <c r="I45" i="9"/>
  <c r="H57" i="9"/>
  <c r="I57" i="9"/>
  <c r="K57" i="9"/>
  <c r="H94" i="9"/>
  <c r="K94" i="9"/>
  <c r="I94" i="9"/>
  <c r="H109" i="9"/>
  <c r="H118" i="9" s="1"/>
  <c r="K109" i="9"/>
  <c r="I109" i="9"/>
  <c r="H120" i="9"/>
  <c r="K120" i="9"/>
  <c r="I120" i="9"/>
  <c r="K131" i="9"/>
  <c r="I131" i="9"/>
  <c r="H139" i="9"/>
  <c r="K139" i="9"/>
  <c r="I139" i="9"/>
  <c r="H151" i="9"/>
  <c r="I151" i="9"/>
  <c r="K151" i="9"/>
  <c r="H159" i="9"/>
  <c r="I159" i="9"/>
  <c r="H46" i="10"/>
  <c r="K46" i="10"/>
  <c r="I46" i="10"/>
  <c r="I66" i="10"/>
  <c r="I72" i="10" s="1"/>
  <c r="K66" i="10"/>
  <c r="H89" i="10"/>
  <c r="K89" i="10"/>
  <c r="I89" i="10"/>
  <c r="H103" i="10"/>
  <c r="K103" i="10"/>
  <c r="I103" i="10"/>
  <c r="H115" i="10"/>
  <c r="K115" i="10"/>
  <c r="I115" i="10"/>
  <c r="H145" i="10"/>
  <c r="K145" i="10"/>
  <c r="I145" i="10"/>
  <c r="H153" i="10"/>
  <c r="K153" i="10"/>
  <c r="I153" i="10"/>
  <c r="H163" i="10"/>
  <c r="K163" i="10"/>
  <c r="I163" i="10"/>
  <c r="H177" i="10"/>
  <c r="K177" i="10"/>
  <c r="I177" i="10"/>
  <c r="H190" i="10"/>
  <c r="K190" i="10"/>
  <c r="I190" i="10"/>
  <c r="H198" i="10"/>
  <c r="K198" i="10"/>
  <c r="I198" i="10"/>
  <c r="K209" i="10"/>
  <c r="I209" i="10"/>
  <c r="H217" i="10"/>
  <c r="K217" i="10"/>
  <c r="I217" i="10"/>
  <c r="H225" i="10"/>
  <c r="K225" i="10"/>
  <c r="I225" i="10"/>
  <c r="H236" i="10"/>
  <c r="K236" i="10"/>
  <c r="I236" i="10"/>
  <c r="H244" i="10"/>
  <c r="K244" i="10"/>
  <c r="I244" i="10"/>
  <c r="H252" i="10"/>
  <c r="I252" i="10"/>
  <c r="H175" i="10"/>
  <c r="K175" i="10"/>
  <c r="I175" i="10"/>
  <c r="H165" i="19"/>
  <c r="K165" i="19"/>
  <c r="I165" i="19"/>
  <c r="H53" i="2"/>
  <c r="K53" i="2"/>
  <c r="I53" i="2"/>
  <c r="H127" i="2"/>
  <c r="K127" i="2"/>
  <c r="I127" i="2"/>
  <c r="H171" i="2"/>
  <c r="K171" i="2"/>
  <c r="I171" i="2"/>
  <c r="H198" i="2"/>
  <c r="K198" i="2"/>
  <c r="I198" i="2"/>
  <c r="H24" i="4"/>
  <c r="K24" i="4"/>
  <c r="I24" i="4"/>
  <c r="K44" i="6"/>
  <c r="I44" i="6"/>
  <c r="H147" i="6"/>
  <c r="I147" i="6"/>
  <c r="K88" i="8"/>
  <c r="I88" i="8"/>
  <c r="K148" i="8"/>
  <c r="I148" i="8"/>
  <c r="K178" i="8"/>
  <c r="I178" i="8"/>
  <c r="H19" i="9"/>
  <c r="K19" i="9"/>
  <c r="I19" i="9"/>
  <c r="H59" i="9"/>
  <c r="K59" i="9"/>
  <c r="I59" i="9"/>
  <c r="H133" i="9"/>
  <c r="K133" i="9"/>
  <c r="I133" i="9"/>
  <c r="K10" i="10"/>
  <c r="I10" i="10"/>
  <c r="I16" i="10" s="1"/>
  <c r="H109" i="10"/>
  <c r="K109" i="10"/>
  <c r="I109" i="10"/>
  <c r="H180" i="10"/>
  <c r="K180" i="10"/>
  <c r="I180" i="10"/>
  <c r="H211" i="10"/>
  <c r="K211" i="10"/>
  <c r="I211" i="10"/>
  <c r="H238" i="10"/>
  <c r="K238" i="10"/>
  <c r="I238" i="10"/>
  <c r="H166" i="19"/>
  <c r="I166" i="19"/>
  <c r="K166" i="19"/>
  <c r="H40" i="2"/>
  <c r="K40" i="2"/>
  <c r="I40" i="2"/>
  <c r="H82" i="2"/>
  <c r="I82" i="2"/>
  <c r="K82" i="2"/>
  <c r="H136" i="2"/>
  <c r="K136" i="2"/>
  <c r="I136" i="2"/>
  <c r="H172" i="2"/>
  <c r="K172" i="2"/>
  <c r="I172" i="2"/>
  <c r="H199" i="2"/>
  <c r="K199" i="2"/>
  <c r="I199" i="2"/>
  <c r="H11" i="4"/>
  <c r="I11" i="4"/>
  <c r="K11" i="4"/>
  <c r="H37" i="4"/>
  <c r="I37" i="4"/>
  <c r="K37" i="4"/>
  <c r="H99" i="4"/>
  <c r="I99" i="4"/>
  <c r="K99" i="4"/>
  <c r="K32" i="6"/>
  <c r="I32" i="6"/>
  <c r="K54" i="6"/>
  <c r="I54" i="6"/>
  <c r="K126" i="8"/>
  <c r="I126" i="8"/>
  <c r="K179" i="8"/>
  <c r="I179" i="8"/>
  <c r="H36" i="9"/>
  <c r="H37" i="9" s="1"/>
  <c r="I36" i="9"/>
  <c r="K36" i="9"/>
  <c r="H82" i="19"/>
  <c r="H99" i="19" s="1"/>
  <c r="I82" i="19"/>
  <c r="I99" i="19" s="1"/>
  <c r="K82" i="19"/>
  <c r="H144" i="19"/>
  <c r="K144" i="19"/>
  <c r="I144" i="19"/>
  <c r="H156" i="19"/>
  <c r="I156" i="19"/>
  <c r="K156" i="19"/>
  <c r="H164" i="19"/>
  <c r="I164" i="19"/>
  <c r="K164" i="19"/>
  <c r="H176" i="19"/>
  <c r="I176" i="19"/>
  <c r="K176" i="19"/>
  <c r="I10" i="2"/>
  <c r="K10" i="2"/>
  <c r="I24" i="2"/>
  <c r="K24" i="2"/>
  <c r="K38" i="2"/>
  <c r="I38" i="2"/>
  <c r="I44" i="2" s="1"/>
  <c r="K52" i="2"/>
  <c r="I52" i="2"/>
  <c r="K66" i="2"/>
  <c r="I66" i="2"/>
  <c r="I80" i="2"/>
  <c r="K80" i="2"/>
  <c r="H92" i="2"/>
  <c r="K92" i="2"/>
  <c r="I92" i="2"/>
  <c r="H126" i="2"/>
  <c r="K126" i="2"/>
  <c r="I126" i="2"/>
  <c r="H134" i="2"/>
  <c r="I134" i="2"/>
  <c r="K134" i="2"/>
  <c r="K145" i="2"/>
  <c r="I145" i="2"/>
  <c r="H159" i="2"/>
  <c r="K159" i="2"/>
  <c r="I159" i="2"/>
  <c r="K170" i="2"/>
  <c r="I170" i="2"/>
  <c r="H178" i="2"/>
  <c r="K178" i="2"/>
  <c r="I178" i="2"/>
  <c r="H189" i="2"/>
  <c r="K189" i="2"/>
  <c r="I189" i="2"/>
  <c r="H197" i="2"/>
  <c r="K197" i="2"/>
  <c r="I197" i="2"/>
  <c r="H219" i="2"/>
  <c r="K219" i="2"/>
  <c r="I219" i="2"/>
  <c r="H22" i="4"/>
  <c r="K22" i="4"/>
  <c r="I22" i="4"/>
  <c r="H35" i="4"/>
  <c r="K35" i="4"/>
  <c r="I35" i="4"/>
  <c r="H70" i="4"/>
  <c r="K70" i="4"/>
  <c r="I70" i="4"/>
  <c r="H97" i="4"/>
  <c r="I97" i="4"/>
  <c r="K97" i="4"/>
  <c r="H108" i="4"/>
  <c r="I108" i="4"/>
  <c r="K108" i="4"/>
  <c r="H120" i="4"/>
  <c r="I120" i="4"/>
  <c r="K120" i="4"/>
  <c r="K13" i="6"/>
  <c r="I13" i="6"/>
  <c r="K27" i="6"/>
  <c r="I27" i="6"/>
  <c r="I31" i="6" s="1"/>
  <c r="K41" i="6"/>
  <c r="I41" i="6"/>
  <c r="K52" i="6"/>
  <c r="I52" i="6"/>
  <c r="H146" i="6"/>
  <c r="I146" i="6"/>
  <c r="I75" i="8"/>
  <c r="K75" i="8"/>
  <c r="K87" i="8"/>
  <c r="I87" i="8"/>
  <c r="I116" i="8"/>
  <c r="K116" i="8"/>
  <c r="I124" i="8"/>
  <c r="K124" i="8"/>
  <c r="K135" i="8"/>
  <c r="I135" i="8"/>
  <c r="K147" i="8"/>
  <c r="I147" i="8"/>
  <c r="K158" i="8"/>
  <c r="I158" i="8"/>
  <c r="I166" i="8"/>
  <c r="K166" i="8"/>
  <c r="K177" i="8"/>
  <c r="I177" i="8"/>
  <c r="K185" i="8"/>
  <c r="I185" i="8"/>
  <c r="K197" i="8"/>
  <c r="I197" i="8"/>
  <c r="H206" i="8"/>
  <c r="I206" i="8"/>
  <c r="H18" i="9"/>
  <c r="K18" i="9"/>
  <c r="I18" i="9"/>
  <c r="H32" i="9"/>
  <c r="K32" i="9"/>
  <c r="I32" i="9"/>
  <c r="H46" i="9"/>
  <c r="I46" i="9"/>
  <c r="K46" i="9"/>
  <c r="H58" i="9"/>
  <c r="K58" i="9"/>
  <c r="I58" i="9"/>
  <c r="H87" i="9"/>
  <c r="K87" i="9"/>
  <c r="I87" i="9"/>
  <c r="H97" i="9"/>
  <c r="I97" i="9"/>
  <c r="K97" i="9"/>
  <c r="H110" i="9"/>
  <c r="K110" i="9"/>
  <c r="I110" i="9"/>
  <c r="H121" i="9"/>
  <c r="I121" i="9"/>
  <c r="K121" i="9"/>
  <c r="H132" i="9"/>
  <c r="I132" i="9"/>
  <c r="K132" i="9"/>
  <c r="H140" i="9"/>
  <c r="K140" i="9"/>
  <c r="I140" i="9"/>
  <c r="H152" i="9"/>
  <c r="K152" i="9"/>
  <c r="I152" i="9"/>
  <c r="H165" i="9"/>
  <c r="H170" i="9" s="1"/>
  <c r="K165" i="9"/>
  <c r="I165" i="9"/>
  <c r="H47" i="10"/>
  <c r="K47" i="10"/>
  <c r="I47" i="10"/>
  <c r="I73" i="10"/>
  <c r="I79" i="10" s="1"/>
  <c r="K73" i="10"/>
  <c r="H92" i="10"/>
  <c r="K92" i="10"/>
  <c r="I92" i="10"/>
  <c r="H106" i="10"/>
  <c r="K106" i="10"/>
  <c r="I106" i="10"/>
  <c r="H116" i="10"/>
  <c r="I116" i="10"/>
  <c r="K116" i="10"/>
  <c r="H146" i="10"/>
  <c r="K146" i="10"/>
  <c r="I146" i="10"/>
  <c r="H154" i="10"/>
  <c r="K154" i="10"/>
  <c r="I154" i="10"/>
  <c r="H165" i="10"/>
  <c r="K165" i="10"/>
  <c r="I165" i="10"/>
  <c r="H178" i="10"/>
  <c r="K178" i="10"/>
  <c r="I178" i="10"/>
  <c r="H191" i="10"/>
  <c r="K191" i="10"/>
  <c r="I191" i="10"/>
  <c r="H199" i="10"/>
  <c r="K199" i="10"/>
  <c r="I199" i="10"/>
  <c r="H210" i="10"/>
  <c r="K210" i="10"/>
  <c r="I210" i="10"/>
  <c r="H218" i="10"/>
  <c r="K218" i="10"/>
  <c r="I218" i="10"/>
  <c r="H226" i="10"/>
  <c r="K226" i="10"/>
  <c r="I226" i="10"/>
  <c r="H237" i="10"/>
  <c r="I237" i="10"/>
  <c r="K237" i="10"/>
  <c r="H245" i="10"/>
  <c r="I245" i="10"/>
  <c r="K245" i="10"/>
  <c r="H179" i="10"/>
  <c r="K179" i="10"/>
  <c r="I179" i="10"/>
  <c r="K23" i="8"/>
  <c r="I23" i="8"/>
  <c r="I46" i="8"/>
  <c r="K46" i="8"/>
  <c r="I60" i="8"/>
  <c r="K60" i="8"/>
  <c r="K11" i="8"/>
  <c r="I11" i="8"/>
  <c r="K25" i="8"/>
  <c r="I25" i="8"/>
  <c r="K40" i="8"/>
  <c r="I40" i="8"/>
  <c r="I54" i="8"/>
  <c r="K54" i="8"/>
  <c r="K12" i="8"/>
  <c r="I12" i="8"/>
  <c r="K19" i="8"/>
  <c r="I19" i="8"/>
  <c r="K26" i="8"/>
  <c r="I26" i="8"/>
  <c r="I33" i="8"/>
  <c r="K33" i="8"/>
  <c r="I41" i="8"/>
  <c r="K41" i="8"/>
  <c r="K48" i="8"/>
  <c r="I48" i="8"/>
  <c r="I55" i="8"/>
  <c r="K55" i="8"/>
  <c r="K62" i="8"/>
  <c r="I62" i="8"/>
  <c r="I16" i="8"/>
  <c r="K16" i="8"/>
  <c r="K30" i="8"/>
  <c r="I30" i="8"/>
  <c r="K39" i="8"/>
  <c r="I39" i="8"/>
  <c r="K53" i="8"/>
  <c r="I53" i="8"/>
  <c r="I18" i="8"/>
  <c r="K18" i="8"/>
  <c r="I32" i="8"/>
  <c r="K32" i="8"/>
  <c r="I47" i="8"/>
  <c r="K47" i="8"/>
  <c r="I61" i="8"/>
  <c r="K61" i="8"/>
  <c r="I13" i="8"/>
  <c r="K13" i="8"/>
  <c r="K20" i="8"/>
  <c r="I20" i="8"/>
  <c r="I27" i="8"/>
  <c r="K27" i="8"/>
  <c r="K34" i="8"/>
  <c r="I34" i="8"/>
  <c r="K44" i="8"/>
  <c r="I44" i="8"/>
  <c r="I51" i="8"/>
  <c r="K51" i="8"/>
  <c r="K58" i="8"/>
  <c r="I58" i="8"/>
  <c r="K65" i="8"/>
  <c r="I65" i="8"/>
  <c r="K103" i="3"/>
  <c r="I103" i="3"/>
  <c r="H129" i="3"/>
  <c r="I129" i="3"/>
  <c r="K129" i="3"/>
  <c r="H133" i="3"/>
  <c r="I133" i="3"/>
  <c r="K133" i="3"/>
  <c r="H140" i="3"/>
  <c r="K140" i="3"/>
  <c r="I140" i="3"/>
  <c r="H144" i="3"/>
  <c r="K144" i="3"/>
  <c r="I144" i="3"/>
  <c r="K148" i="3"/>
  <c r="I148" i="3"/>
  <c r="H175" i="3"/>
  <c r="I175" i="3"/>
  <c r="K175" i="3"/>
  <c r="I179" i="3"/>
  <c r="K179" i="3"/>
  <c r="H108" i="3"/>
  <c r="I108" i="3"/>
  <c r="K108" i="3"/>
  <c r="H118" i="3"/>
  <c r="I118" i="3"/>
  <c r="K118" i="3"/>
  <c r="H126" i="3"/>
  <c r="K126" i="3"/>
  <c r="I126" i="3"/>
  <c r="H130" i="3"/>
  <c r="I130" i="3"/>
  <c r="K130" i="3"/>
  <c r="H134" i="3"/>
  <c r="I134" i="3"/>
  <c r="K134" i="3"/>
  <c r="H141" i="3"/>
  <c r="K141" i="3"/>
  <c r="I141" i="3"/>
  <c r="K145" i="3"/>
  <c r="I145" i="3"/>
  <c r="I176" i="3"/>
  <c r="K176" i="3"/>
  <c r="I180" i="3"/>
  <c r="K180" i="3"/>
  <c r="H119" i="3"/>
  <c r="I119" i="3"/>
  <c r="K119" i="3"/>
  <c r="H127" i="3"/>
  <c r="I127" i="3"/>
  <c r="K127" i="3"/>
  <c r="H131" i="3"/>
  <c r="I131" i="3"/>
  <c r="K131" i="3"/>
  <c r="H136" i="3"/>
  <c r="I136" i="3"/>
  <c r="K136" i="3"/>
  <c r="H142" i="3"/>
  <c r="I142" i="3"/>
  <c r="K142" i="3"/>
  <c r="I146" i="3"/>
  <c r="K146" i="3"/>
  <c r="H173" i="3"/>
  <c r="K173" i="3"/>
  <c r="I173" i="3"/>
  <c r="I177" i="3"/>
  <c r="K177" i="3"/>
  <c r="I181" i="3"/>
  <c r="K181" i="3"/>
  <c r="H121" i="3"/>
  <c r="H128" i="3"/>
  <c r="I128" i="3"/>
  <c r="K128" i="3"/>
  <c r="H132" i="3"/>
  <c r="I132" i="3"/>
  <c r="K132" i="3"/>
  <c r="H139" i="3"/>
  <c r="I139" i="3"/>
  <c r="K139" i="3"/>
  <c r="H143" i="3"/>
  <c r="K143" i="3"/>
  <c r="I143" i="3"/>
  <c r="K147" i="3"/>
  <c r="I147" i="3"/>
  <c r="H174" i="3"/>
  <c r="I174" i="3"/>
  <c r="K174" i="3"/>
  <c r="I178" i="3"/>
  <c r="K178" i="3"/>
  <c r="K182" i="3"/>
  <c r="I182" i="3"/>
  <c r="H18" i="3"/>
  <c r="K18" i="3"/>
  <c r="I18" i="3"/>
  <c r="H32" i="3"/>
  <c r="I32" i="3"/>
  <c r="K32" i="3"/>
  <c r="K46" i="3"/>
  <c r="I46" i="3"/>
  <c r="K60" i="3"/>
  <c r="I60" i="3"/>
  <c r="H72" i="3"/>
  <c r="I72" i="3"/>
  <c r="K72" i="3"/>
  <c r="H76" i="3"/>
  <c r="I76" i="3"/>
  <c r="K76" i="3"/>
  <c r="H107" i="3"/>
  <c r="I107" i="3"/>
  <c r="K107" i="3"/>
  <c r="K117" i="3"/>
  <c r="I117" i="3"/>
  <c r="H148" i="3"/>
  <c r="H159" i="3"/>
  <c r="I159" i="3"/>
  <c r="K159" i="3"/>
  <c r="H183" i="3"/>
  <c r="H19" i="3"/>
  <c r="K19" i="3"/>
  <c r="I19" i="3"/>
  <c r="H33" i="3"/>
  <c r="K33" i="3"/>
  <c r="I33" i="3"/>
  <c r="H47" i="3"/>
  <c r="K47" i="3"/>
  <c r="I47" i="3"/>
  <c r="H61" i="3"/>
  <c r="I61" i="3"/>
  <c r="K61" i="3"/>
  <c r="H73" i="3"/>
  <c r="I73" i="3"/>
  <c r="K73" i="3"/>
  <c r="K152" i="3"/>
  <c r="I152" i="3"/>
  <c r="H160" i="3"/>
  <c r="K160" i="3"/>
  <c r="I160" i="3"/>
  <c r="H168" i="3"/>
  <c r="K168" i="3"/>
  <c r="I168" i="3"/>
  <c r="H180" i="3"/>
  <c r="H13" i="3"/>
  <c r="I13" i="3"/>
  <c r="K13" i="3"/>
  <c r="H20" i="3"/>
  <c r="I20" i="3"/>
  <c r="K20" i="3"/>
  <c r="H27" i="3"/>
  <c r="I27" i="3"/>
  <c r="K27" i="3"/>
  <c r="H34" i="3"/>
  <c r="K34" i="3"/>
  <c r="I34" i="3"/>
  <c r="H41" i="3"/>
  <c r="K41" i="3"/>
  <c r="I41" i="3"/>
  <c r="H48" i="3"/>
  <c r="I48" i="3"/>
  <c r="K48" i="3"/>
  <c r="H55" i="3"/>
  <c r="K55" i="3"/>
  <c r="I55" i="3"/>
  <c r="H62" i="3"/>
  <c r="I62" i="3"/>
  <c r="K62" i="3"/>
  <c r="H70" i="3"/>
  <c r="K70" i="3"/>
  <c r="I70" i="3"/>
  <c r="H74" i="3"/>
  <c r="K74" i="3"/>
  <c r="I74" i="3"/>
  <c r="H81" i="3"/>
  <c r="H105" i="3"/>
  <c r="K105" i="3"/>
  <c r="I105" i="3"/>
  <c r="H109" i="3"/>
  <c r="K109" i="3"/>
  <c r="I109" i="3"/>
  <c r="H115" i="3"/>
  <c r="I115" i="3"/>
  <c r="K115" i="3"/>
  <c r="H146" i="3"/>
  <c r="H153" i="3"/>
  <c r="K153" i="3"/>
  <c r="I153" i="3"/>
  <c r="H157" i="3"/>
  <c r="K157" i="3"/>
  <c r="I157" i="3"/>
  <c r="H161" i="3"/>
  <c r="K161" i="3"/>
  <c r="I161" i="3"/>
  <c r="H165" i="3"/>
  <c r="K165" i="3"/>
  <c r="I165" i="3"/>
  <c r="H177" i="3"/>
  <c r="H181" i="3"/>
  <c r="G189" i="3"/>
  <c r="K187" i="3"/>
  <c r="H11" i="3"/>
  <c r="K11" i="3"/>
  <c r="I11" i="3"/>
  <c r="H25" i="3"/>
  <c r="K25" i="3"/>
  <c r="I25" i="3"/>
  <c r="I39" i="3"/>
  <c r="K39" i="3"/>
  <c r="I53" i="3"/>
  <c r="K53" i="3"/>
  <c r="H68" i="3"/>
  <c r="I68" i="3"/>
  <c r="H103" i="3"/>
  <c r="H111" i="3"/>
  <c r="I111" i="3"/>
  <c r="K111" i="3"/>
  <c r="H155" i="3"/>
  <c r="I155" i="3"/>
  <c r="K155" i="3"/>
  <c r="H163" i="3"/>
  <c r="I163" i="3"/>
  <c r="K163" i="3"/>
  <c r="H167" i="3"/>
  <c r="I167" i="3"/>
  <c r="H179" i="3"/>
  <c r="H12" i="3"/>
  <c r="I12" i="3"/>
  <c r="K12" i="3"/>
  <c r="H26" i="3"/>
  <c r="K26" i="3"/>
  <c r="I26" i="3"/>
  <c r="H40" i="3"/>
  <c r="I40" i="3"/>
  <c r="K40" i="3"/>
  <c r="H54" i="3"/>
  <c r="K54" i="3"/>
  <c r="I54" i="3"/>
  <c r="H69" i="3"/>
  <c r="K69" i="3"/>
  <c r="I69" i="3"/>
  <c r="H104" i="3"/>
  <c r="K104" i="3"/>
  <c r="I104" i="3"/>
  <c r="H112" i="3"/>
  <c r="I112" i="3"/>
  <c r="K112" i="3"/>
  <c r="H145" i="3"/>
  <c r="H156" i="3"/>
  <c r="K156" i="3"/>
  <c r="I156" i="3"/>
  <c r="H164" i="3"/>
  <c r="K164" i="3"/>
  <c r="I164" i="3"/>
  <c r="H176" i="3"/>
  <c r="H184" i="3"/>
  <c r="H16" i="3"/>
  <c r="I16" i="3"/>
  <c r="K16" i="3"/>
  <c r="H23" i="3"/>
  <c r="I23" i="3"/>
  <c r="K23" i="3"/>
  <c r="H30" i="3"/>
  <c r="K30" i="3"/>
  <c r="I30" i="3"/>
  <c r="H37" i="3"/>
  <c r="K37" i="3"/>
  <c r="I37" i="3"/>
  <c r="H44" i="3"/>
  <c r="I44" i="3"/>
  <c r="K44" i="3"/>
  <c r="K51" i="3"/>
  <c r="I51" i="3"/>
  <c r="H58" i="3"/>
  <c r="K58" i="3"/>
  <c r="I58" i="3"/>
  <c r="H65" i="3"/>
  <c r="I65" i="3"/>
  <c r="K65" i="3"/>
  <c r="H71" i="3"/>
  <c r="I71" i="3"/>
  <c r="K71" i="3"/>
  <c r="H75" i="3"/>
  <c r="I75" i="3"/>
  <c r="H82" i="3"/>
  <c r="H106" i="3"/>
  <c r="I106" i="3"/>
  <c r="K106" i="3"/>
  <c r="H110" i="3"/>
  <c r="K110" i="3"/>
  <c r="I110" i="3"/>
  <c r="H116" i="3"/>
  <c r="I116" i="3"/>
  <c r="K116" i="3"/>
  <c r="H147" i="3"/>
  <c r="H154" i="3"/>
  <c r="I154" i="3"/>
  <c r="K154" i="3"/>
  <c r="H158" i="3"/>
  <c r="I158" i="3"/>
  <c r="K158" i="3"/>
  <c r="H162" i="3"/>
  <c r="I162" i="3"/>
  <c r="K162" i="3"/>
  <c r="H166" i="3"/>
  <c r="I166" i="3"/>
  <c r="K166" i="3"/>
  <c r="H178" i="3"/>
  <c r="H182" i="3"/>
  <c r="H190" i="3"/>
  <c r="H200" i="1"/>
  <c r="I200" i="1"/>
  <c r="K200" i="1"/>
  <c r="H182" i="1"/>
  <c r="K182" i="1"/>
  <c r="I182" i="1"/>
  <c r="H168" i="1"/>
  <c r="I168" i="1"/>
  <c r="K168" i="1"/>
  <c r="H155" i="1"/>
  <c r="I155" i="1"/>
  <c r="K155" i="1"/>
  <c r="H147" i="1"/>
  <c r="I147" i="1"/>
  <c r="K147" i="1"/>
  <c r="H160" i="1"/>
  <c r="I160" i="1"/>
  <c r="K160" i="1"/>
  <c r="H19" i="1"/>
  <c r="I19" i="1"/>
  <c r="K19" i="1"/>
  <c r="K39" i="1"/>
  <c r="I39" i="1"/>
  <c r="H55" i="1"/>
  <c r="I55" i="1"/>
  <c r="K55" i="1"/>
  <c r="K83" i="1"/>
  <c r="I83" i="1"/>
  <c r="H103" i="1"/>
  <c r="K103" i="1"/>
  <c r="I103" i="1"/>
  <c r="H115" i="1"/>
  <c r="K115" i="1"/>
  <c r="I115" i="1"/>
  <c r="H225" i="1"/>
  <c r="I225" i="1"/>
  <c r="K225" i="1"/>
  <c r="H217" i="1"/>
  <c r="I217" i="1"/>
  <c r="K217" i="1"/>
  <c r="K240" i="1"/>
  <c r="I240" i="1"/>
  <c r="H252" i="1"/>
  <c r="K252" i="1"/>
  <c r="I252" i="1"/>
  <c r="H257" i="1"/>
  <c r="I257" i="1"/>
  <c r="H44" i="1"/>
  <c r="K44" i="1"/>
  <c r="I44" i="1"/>
  <c r="K72" i="1"/>
  <c r="I72" i="1"/>
  <c r="H203" i="1"/>
  <c r="I203" i="1"/>
  <c r="K203" i="1"/>
  <c r="H199" i="1"/>
  <c r="I199" i="1"/>
  <c r="K199" i="1"/>
  <c r="I195" i="1"/>
  <c r="K195" i="1"/>
  <c r="H188" i="1"/>
  <c r="I188" i="1"/>
  <c r="K188" i="1"/>
  <c r="H181" i="1"/>
  <c r="I181" i="1"/>
  <c r="K181" i="1"/>
  <c r="H177" i="1"/>
  <c r="I177" i="1"/>
  <c r="K177" i="1"/>
  <c r="I167" i="1"/>
  <c r="K167" i="1"/>
  <c r="H158" i="1"/>
  <c r="K158" i="1"/>
  <c r="I158" i="1"/>
  <c r="H154" i="1"/>
  <c r="K154" i="1"/>
  <c r="I154" i="1"/>
  <c r="H150" i="1"/>
  <c r="K150" i="1"/>
  <c r="I150" i="1"/>
  <c r="H146" i="1"/>
  <c r="K146" i="1"/>
  <c r="I146" i="1"/>
  <c r="H170" i="1"/>
  <c r="H12" i="1"/>
  <c r="I12" i="1"/>
  <c r="I17" i="1" s="1"/>
  <c r="K12" i="1"/>
  <c r="H20" i="1"/>
  <c r="K20" i="1"/>
  <c r="I20" i="1"/>
  <c r="K32" i="1"/>
  <c r="I32" i="1"/>
  <c r="H40" i="1"/>
  <c r="I40" i="1"/>
  <c r="K40" i="1"/>
  <c r="H48" i="1"/>
  <c r="K48" i="1"/>
  <c r="I48" i="1"/>
  <c r="K60" i="1"/>
  <c r="I60" i="1"/>
  <c r="H68" i="1"/>
  <c r="K68" i="1"/>
  <c r="I68" i="1"/>
  <c r="H76" i="1"/>
  <c r="K76" i="1"/>
  <c r="I76" i="1"/>
  <c r="K88" i="1"/>
  <c r="I88" i="1"/>
  <c r="H96" i="1"/>
  <c r="K96" i="1"/>
  <c r="I96" i="1"/>
  <c r="H104" i="1"/>
  <c r="K104" i="1"/>
  <c r="I104" i="1"/>
  <c r="H112" i="1"/>
  <c r="I112" i="1"/>
  <c r="K112" i="1"/>
  <c r="I116" i="1"/>
  <c r="K116" i="1"/>
  <c r="H232" i="1"/>
  <c r="K232" i="1"/>
  <c r="I232" i="1"/>
  <c r="H228" i="1"/>
  <c r="K228" i="1"/>
  <c r="I228" i="1"/>
  <c r="H224" i="1"/>
  <c r="K224" i="1"/>
  <c r="I224" i="1"/>
  <c r="H220" i="1"/>
  <c r="K220" i="1"/>
  <c r="I220" i="1"/>
  <c r="H216" i="1"/>
  <c r="K216" i="1"/>
  <c r="I216" i="1"/>
  <c r="H256" i="1"/>
  <c r="H209" i="1"/>
  <c r="K209" i="1"/>
  <c r="I209" i="1"/>
  <c r="G262" i="1"/>
  <c r="K260" i="1"/>
  <c r="H251" i="1"/>
  <c r="I251" i="1"/>
  <c r="K251" i="1"/>
  <c r="H247" i="1"/>
  <c r="I247" i="1"/>
  <c r="K247" i="1"/>
  <c r="H243" i="1"/>
  <c r="I243" i="1"/>
  <c r="K243" i="1"/>
  <c r="H23" i="1"/>
  <c r="I23" i="1"/>
  <c r="K23" i="1"/>
  <c r="H51" i="1"/>
  <c r="K51" i="1"/>
  <c r="I51" i="1"/>
  <c r="H79" i="1"/>
  <c r="K79" i="1"/>
  <c r="I79" i="1"/>
  <c r="K107" i="1"/>
  <c r="I107" i="1"/>
  <c r="H205" i="1"/>
  <c r="K205" i="1"/>
  <c r="I205" i="1"/>
  <c r="H201" i="1"/>
  <c r="K201" i="1"/>
  <c r="I201" i="1"/>
  <c r="H197" i="1"/>
  <c r="K197" i="1"/>
  <c r="I197" i="1"/>
  <c r="H190" i="1"/>
  <c r="K190" i="1"/>
  <c r="I190" i="1"/>
  <c r="H183" i="1"/>
  <c r="K183" i="1"/>
  <c r="I183" i="1"/>
  <c r="H179" i="1"/>
  <c r="K179" i="1"/>
  <c r="I179" i="1"/>
  <c r="K145" i="1"/>
  <c r="I145" i="1"/>
  <c r="H156" i="1"/>
  <c r="I156" i="1"/>
  <c r="K156" i="1"/>
  <c r="H152" i="1"/>
  <c r="I152" i="1"/>
  <c r="K152" i="1"/>
  <c r="H163" i="1"/>
  <c r="I163" i="1"/>
  <c r="K163" i="1"/>
  <c r="H186" i="1"/>
  <c r="K186" i="1"/>
  <c r="I186" i="1"/>
  <c r="K18" i="1"/>
  <c r="I18" i="1"/>
  <c r="H26" i="1"/>
  <c r="I26" i="1"/>
  <c r="K26" i="1"/>
  <c r="H34" i="1"/>
  <c r="K34" i="1"/>
  <c r="I34" i="1"/>
  <c r="K46" i="1"/>
  <c r="I46" i="1"/>
  <c r="H54" i="1"/>
  <c r="K54" i="1"/>
  <c r="I54" i="1"/>
  <c r="H62" i="1"/>
  <c r="K62" i="1"/>
  <c r="I62" i="1"/>
  <c r="K74" i="1"/>
  <c r="I74" i="1"/>
  <c r="H82" i="1"/>
  <c r="K82" i="1"/>
  <c r="I82" i="1"/>
  <c r="H90" i="1"/>
  <c r="K90" i="1"/>
  <c r="I90" i="1"/>
  <c r="K102" i="1"/>
  <c r="I102" i="1"/>
  <c r="H114" i="1"/>
  <c r="K114" i="1"/>
  <c r="I114" i="1"/>
  <c r="H230" i="1"/>
  <c r="K230" i="1"/>
  <c r="H226" i="1"/>
  <c r="I226" i="1"/>
  <c r="K226" i="1"/>
  <c r="H222" i="1"/>
  <c r="I222" i="1"/>
  <c r="K222" i="1"/>
  <c r="H218" i="1"/>
  <c r="I218" i="1"/>
  <c r="K218" i="1"/>
  <c r="H214" i="1"/>
  <c r="I214" i="1"/>
  <c r="K214" i="1"/>
  <c r="H254" i="1"/>
  <c r="I254" i="1"/>
  <c r="K254" i="1"/>
  <c r="H207" i="1"/>
  <c r="I207" i="1"/>
  <c r="K207" i="1"/>
  <c r="H253" i="1"/>
  <c r="K253" i="1"/>
  <c r="I253" i="1"/>
  <c r="H249" i="1"/>
  <c r="K249" i="1"/>
  <c r="I249" i="1"/>
  <c r="H245" i="1"/>
  <c r="K245" i="1"/>
  <c r="I245" i="1"/>
  <c r="H241" i="1"/>
  <c r="K241" i="1"/>
  <c r="I241" i="1"/>
  <c r="H37" i="1"/>
  <c r="I37" i="1"/>
  <c r="K37" i="1"/>
  <c r="H65" i="1"/>
  <c r="K65" i="1"/>
  <c r="I65" i="1"/>
  <c r="H93" i="1"/>
  <c r="K93" i="1"/>
  <c r="I93" i="1"/>
  <c r="H204" i="1"/>
  <c r="I204" i="1"/>
  <c r="K204" i="1"/>
  <c r="H196" i="1"/>
  <c r="I196" i="1"/>
  <c r="K196" i="1"/>
  <c r="H189" i="1"/>
  <c r="I189" i="1"/>
  <c r="K189" i="1"/>
  <c r="H178" i="1"/>
  <c r="K178" i="1"/>
  <c r="I178" i="1"/>
  <c r="H159" i="1"/>
  <c r="I159" i="1"/>
  <c r="K159" i="1"/>
  <c r="H151" i="1"/>
  <c r="I151" i="1"/>
  <c r="K151" i="1"/>
  <c r="H185" i="1"/>
  <c r="I185" i="1"/>
  <c r="K185" i="1"/>
  <c r="H27" i="1"/>
  <c r="K27" i="1"/>
  <c r="I27" i="1"/>
  <c r="H47" i="1"/>
  <c r="K47" i="1"/>
  <c r="I47" i="1"/>
  <c r="K67" i="1"/>
  <c r="I67" i="1"/>
  <c r="H75" i="1"/>
  <c r="K75" i="1"/>
  <c r="I75" i="1"/>
  <c r="K95" i="1"/>
  <c r="I95" i="1"/>
  <c r="H111" i="1"/>
  <c r="K111" i="1"/>
  <c r="I111" i="1"/>
  <c r="H233" i="1"/>
  <c r="I233" i="1"/>
  <c r="K233" i="1"/>
  <c r="H229" i="1"/>
  <c r="I229" i="1"/>
  <c r="K229" i="1"/>
  <c r="H221" i="1"/>
  <c r="I221" i="1"/>
  <c r="K221" i="1"/>
  <c r="H234" i="1"/>
  <c r="I234" i="1"/>
  <c r="K234" i="1"/>
  <c r="H206" i="1"/>
  <c r="K206" i="1"/>
  <c r="I206" i="1"/>
  <c r="H248" i="1"/>
  <c r="K248" i="1"/>
  <c r="I248" i="1"/>
  <c r="H244" i="1"/>
  <c r="K244" i="1"/>
  <c r="I244" i="1"/>
  <c r="I16" i="1"/>
  <c r="K16" i="1"/>
  <c r="H100" i="1"/>
  <c r="K100" i="1"/>
  <c r="I100" i="1"/>
  <c r="H210" i="1"/>
  <c r="K210" i="1"/>
  <c r="I210" i="1"/>
  <c r="H202" i="1"/>
  <c r="K202" i="1"/>
  <c r="I202" i="1"/>
  <c r="H198" i="1"/>
  <c r="K198" i="1"/>
  <c r="I198" i="1"/>
  <c r="H184" i="1"/>
  <c r="I184" i="1"/>
  <c r="K184" i="1"/>
  <c r="H180" i="1"/>
  <c r="I180" i="1"/>
  <c r="K180" i="1"/>
  <c r="I176" i="1"/>
  <c r="K176" i="1"/>
  <c r="K165" i="1"/>
  <c r="I165" i="1"/>
  <c r="H157" i="1"/>
  <c r="K157" i="1"/>
  <c r="I157" i="1"/>
  <c r="H153" i="1"/>
  <c r="K153" i="1"/>
  <c r="I153" i="1"/>
  <c r="H149" i="1"/>
  <c r="K149" i="1"/>
  <c r="I149" i="1"/>
  <c r="H164" i="1"/>
  <c r="I164" i="1"/>
  <c r="K164" i="1"/>
  <c r="H187" i="1"/>
  <c r="K187" i="1"/>
  <c r="I187" i="1"/>
  <c r="H13" i="1"/>
  <c r="K13" i="1"/>
  <c r="I13" i="1"/>
  <c r="K25" i="1"/>
  <c r="I25" i="1"/>
  <c r="H33" i="1"/>
  <c r="I33" i="1"/>
  <c r="K33" i="1"/>
  <c r="H41" i="1"/>
  <c r="K41" i="1"/>
  <c r="I41" i="1"/>
  <c r="K53" i="1"/>
  <c r="I53" i="1"/>
  <c r="H61" i="1"/>
  <c r="K61" i="1"/>
  <c r="I61" i="1"/>
  <c r="H69" i="1"/>
  <c r="K69" i="1"/>
  <c r="I69" i="1"/>
  <c r="K81" i="1"/>
  <c r="I81" i="1"/>
  <c r="H89" i="1"/>
  <c r="K89" i="1"/>
  <c r="I89" i="1"/>
  <c r="K97" i="1"/>
  <c r="I97" i="1"/>
  <c r="I109" i="1"/>
  <c r="K109" i="1"/>
  <c r="H113" i="1"/>
  <c r="I113" i="1"/>
  <c r="K113" i="1"/>
  <c r="H117" i="1"/>
  <c r="I117" i="1"/>
  <c r="K117" i="1"/>
  <c r="H231" i="1"/>
  <c r="K231" i="1"/>
  <c r="I231" i="1"/>
  <c r="H227" i="1"/>
  <c r="K227" i="1"/>
  <c r="I227" i="1"/>
  <c r="H223" i="1"/>
  <c r="K223" i="1"/>
  <c r="I223" i="1"/>
  <c r="H219" i="1"/>
  <c r="K219" i="1"/>
  <c r="I219" i="1"/>
  <c r="H215" i="1"/>
  <c r="K215" i="1"/>
  <c r="I215" i="1"/>
  <c r="I255" i="1"/>
  <c r="K255" i="1"/>
  <c r="H208" i="1"/>
  <c r="I208" i="1"/>
  <c r="K208" i="1"/>
  <c r="K263" i="1"/>
  <c r="I263" i="1"/>
  <c r="I264" i="1" s="1"/>
  <c r="H250" i="1"/>
  <c r="I250" i="1"/>
  <c r="K250" i="1"/>
  <c r="H246" i="1"/>
  <c r="I246" i="1"/>
  <c r="K246" i="1"/>
  <c r="H242" i="1"/>
  <c r="I242" i="1"/>
  <c r="K242" i="1"/>
  <c r="K11" i="1"/>
  <c r="H30" i="1"/>
  <c r="I30" i="1"/>
  <c r="K30" i="1"/>
  <c r="H58" i="1"/>
  <c r="I58" i="1"/>
  <c r="K58" i="1"/>
  <c r="H86" i="1"/>
  <c r="K86" i="1"/>
  <c r="I86" i="1"/>
  <c r="H12" i="5"/>
  <c r="I12" i="5"/>
  <c r="K12" i="5"/>
  <c r="H19" i="5"/>
  <c r="H24" i="5" s="1"/>
  <c r="K19" i="5"/>
  <c r="I19" i="5"/>
  <c r="H26" i="5"/>
  <c r="I26" i="5"/>
  <c r="K26" i="5"/>
  <c r="H33" i="5"/>
  <c r="K33" i="5"/>
  <c r="I33" i="5"/>
  <c r="H40" i="5"/>
  <c r="I40" i="5"/>
  <c r="K40" i="5"/>
  <c r="H47" i="5"/>
  <c r="K47" i="5"/>
  <c r="I47" i="5"/>
  <c r="H54" i="5"/>
  <c r="I54" i="5"/>
  <c r="K54" i="5"/>
  <c r="H61" i="5"/>
  <c r="K61" i="5"/>
  <c r="I61" i="5"/>
  <c r="H68" i="5"/>
  <c r="I68" i="5"/>
  <c r="K68" i="5"/>
  <c r="H75" i="5"/>
  <c r="K75" i="5"/>
  <c r="I75" i="5"/>
  <c r="H82" i="5"/>
  <c r="I82" i="5"/>
  <c r="K82" i="5"/>
  <c r="H89" i="5"/>
  <c r="K89" i="5"/>
  <c r="I89" i="5"/>
  <c r="H111" i="5"/>
  <c r="I111" i="5"/>
  <c r="K111" i="5"/>
  <c r="H147" i="5"/>
  <c r="K147" i="5"/>
  <c r="I147" i="5"/>
  <c r="H151" i="5"/>
  <c r="K151" i="5"/>
  <c r="I151" i="5"/>
  <c r="H180" i="5"/>
  <c r="K180" i="5"/>
  <c r="I180" i="5"/>
  <c r="H184" i="5"/>
  <c r="K184" i="5"/>
  <c r="I184" i="5"/>
  <c r="H188" i="5"/>
  <c r="K188" i="5"/>
  <c r="I188" i="5"/>
  <c r="H192" i="5"/>
  <c r="K192" i="5"/>
  <c r="I192" i="5"/>
  <c r="H203" i="5"/>
  <c r="K203" i="5"/>
  <c r="I203" i="5"/>
  <c r="H208" i="5"/>
  <c r="H216" i="5"/>
  <c r="K216" i="5"/>
  <c r="I216" i="5"/>
  <c r="H220" i="5"/>
  <c r="K220" i="5"/>
  <c r="I220" i="5"/>
  <c r="H224" i="5"/>
  <c r="K224" i="5"/>
  <c r="I224" i="5"/>
  <c r="H233" i="5"/>
  <c r="K233" i="5"/>
  <c r="I233" i="5"/>
  <c r="H240" i="5"/>
  <c r="I240" i="5"/>
  <c r="K240" i="5"/>
  <c r="H244" i="5"/>
  <c r="I244" i="5"/>
  <c r="K244" i="5"/>
  <c r="H248" i="5"/>
  <c r="I248" i="5"/>
  <c r="K248" i="5"/>
  <c r="H257" i="5"/>
  <c r="I257" i="5"/>
  <c r="K257" i="5"/>
  <c r="H264" i="5"/>
  <c r="I264" i="5"/>
  <c r="K264" i="5"/>
  <c r="H268" i="5"/>
  <c r="I268" i="5"/>
  <c r="K268" i="5"/>
  <c r="H272" i="5"/>
  <c r="I272" i="5"/>
  <c r="K272" i="5"/>
  <c r="H281" i="5"/>
  <c r="K281" i="5"/>
  <c r="I281" i="5"/>
  <c r="H285" i="5"/>
  <c r="K285" i="5"/>
  <c r="I285" i="5"/>
  <c r="H297" i="5"/>
  <c r="I297" i="5"/>
  <c r="K297" i="5"/>
  <c r="H301" i="5"/>
  <c r="I301" i="5"/>
  <c r="K301" i="5"/>
  <c r="H305" i="5"/>
  <c r="I305" i="5"/>
  <c r="K305" i="5"/>
  <c r="H314" i="5"/>
  <c r="K314" i="5"/>
  <c r="I314" i="5"/>
  <c r="H20" i="5"/>
  <c r="I20" i="5"/>
  <c r="K20" i="5"/>
  <c r="H34" i="5"/>
  <c r="I34" i="5"/>
  <c r="K34" i="5"/>
  <c r="H48" i="5"/>
  <c r="I48" i="5"/>
  <c r="K48" i="5"/>
  <c r="H62" i="5"/>
  <c r="I62" i="5"/>
  <c r="K62" i="5"/>
  <c r="H76" i="5"/>
  <c r="I76" i="5"/>
  <c r="K76" i="5"/>
  <c r="H90" i="5"/>
  <c r="I90" i="5"/>
  <c r="K90" i="5"/>
  <c r="H114" i="5"/>
  <c r="K114" i="5"/>
  <c r="I114" i="5"/>
  <c r="H185" i="5"/>
  <c r="I185" i="5"/>
  <c r="K185" i="5"/>
  <c r="H198" i="5"/>
  <c r="I198" i="5"/>
  <c r="K198" i="5"/>
  <c r="K204" i="5"/>
  <c r="I204" i="5"/>
  <c r="H217" i="5"/>
  <c r="K217" i="5"/>
  <c r="I217" i="5"/>
  <c r="H225" i="5"/>
  <c r="K225" i="5"/>
  <c r="I225" i="5"/>
  <c r="H241" i="5"/>
  <c r="I241" i="5"/>
  <c r="K241" i="5"/>
  <c r="H249" i="5"/>
  <c r="I249" i="5"/>
  <c r="K249" i="5"/>
  <c r="H265" i="5"/>
  <c r="K265" i="5"/>
  <c r="I265" i="5"/>
  <c r="H273" i="5"/>
  <c r="K273" i="5"/>
  <c r="I273" i="5"/>
  <c r="H286" i="5"/>
  <c r="K286" i="5"/>
  <c r="I286" i="5"/>
  <c r="H298" i="5"/>
  <c r="K298" i="5"/>
  <c r="I298" i="5"/>
  <c r="H16" i="5"/>
  <c r="I16" i="5"/>
  <c r="K16" i="5"/>
  <c r="H23" i="5"/>
  <c r="K23" i="5"/>
  <c r="I23" i="5"/>
  <c r="H30" i="5"/>
  <c r="I30" i="5"/>
  <c r="K30" i="5"/>
  <c r="H37" i="5"/>
  <c r="K37" i="5"/>
  <c r="I37" i="5"/>
  <c r="H44" i="5"/>
  <c r="I44" i="5"/>
  <c r="K44" i="5"/>
  <c r="H51" i="5"/>
  <c r="K51" i="5"/>
  <c r="I51" i="5"/>
  <c r="H58" i="5"/>
  <c r="I58" i="5"/>
  <c r="K58" i="5"/>
  <c r="H65" i="5"/>
  <c r="K65" i="5"/>
  <c r="I65" i="5"/>
  <c r="H72" i="5"/>
  <c r="I72" i="5"/>
  <c r="K72" i="5"/>
  <c r="H79" i="5"/>
  <c r="K79" i="5"/>
  <c r="I79" i="5"/>
  <c r="H86" i="5"/>
  <c r="I86" i="5"/>
  <c r="K86" i="5"/>
  <c r="H93" i="5"/>
  <c r="K93" i="5"/>
  <c r="I93" i="5"/>
  <c r="K109" i="5"/>
  <c r="I109" i="5"/>
  <c r="H145" i="5"/>
  <c r="I145" i="5"/>
  <c r="K145" i="5"/>
  <c r="H149" i="5"/>
  <c r="I149" i="5"/>
  <c r="K149" i="5"/>
  <c r="H153" i="5"/>
  <c r="I153" i="5"/>
  <c r="K153" i="5"/>
  <c r="H182" i="5"/>
  <c r="I182" i="5"/>
  <c r="K182" i="5"/>
  <c r="H186" i="5"/>
  <c r="I186" i="5"/>
  <c r="K186" i="5"/>
  <c r="H190" i="5"/>
  <c r="I190" i="5"/>
  <c r="K190" i="5"/>
  <c r="H199" i="5"/>
  <c r="K199" i="5"/>
  <c r="I199" i="5"/>
  <c r="H205" i="5"/>
  <c r="I205" i="5"/>
  <c r="K205" i="5"/>
  <c r="I214" i="5"/>
  <c r="K214" i="5"/>
  <c r="H218" i="5"/>
  <c r="I218" i="5"/>
  <c r="K218" i="5"/>
  <c r="H222" i="5"/>
  <c r="I222" i="5"/>
  <c r="K222" i="5"/>
  <c r="H226" i="5"/>
  <c r="I226" i="5"/>
  <c r="K226" i="5"/>
  <c r="H238" i="5"/>
  <c r="K238" i="5"/>
  <c r="I238" i="5"/>
  <c r="H242" i="5"/>
  <c r="K242" i="5"/>
  <c r="I242" i="5"/>
  <c r="H246" i="5"/>
  <c r="K246" i="5"/>
  <c r="I246" i="5"/>
  <c r="H250" i="5"/>
  <c r="K250" i="5"/>
  <c r="I250" i="5"/>
  <c r="K262" i="5"/>
  <c r="I262" i="5"/>
  <c r="H266" i="5"/>
  <c r="K266" i="5"/>
  <c r="I266" i="5"/>
  <c r="H270" i="5"/>
  <c r="K270" i="5"/>
  <c r="I270" i="5"/>
  <c r="H274" i="5"/>
  <c r="K274" i="5"/>
  <c r="I274" i="5"/>
  <c r="H283" i="5"/>
  <c r="I283" i="5"/>
  <c r="K283" i="5"/>
  <c r="H287" i="5"/>
  <c r="I287" i="5"/>
  <c r="K287" i="5"/>
  <c r="H295" i="5"/>
  <c r="K295" i="5"/>
  <c r="I295" i="5"/>
  <c r="H299" i="5"/>
  <c r="K299" i="5"/>
  <c r="I299" i="5"/>
  <c r="H303" i="5"/>
  <c r="K303" i="5"/>
  <c r="I303" i="5"/>
  <c r="H307" i="5"/>
  <c r="K307" i="5"/>
  <c r="I307" i="5"/>
  <c r="H96" i="5"/>
  <c r="I96" i="5"/>
  <c r="K96" i="5"/>
  <c r="H13" i="5"/>
  <c r="I13" i="5"/>
  <c r="K13" i="5"/>
  <c r="H27" i="5"/>
  <c r="K27" i="5"/>
  <c r="I27" i="5"/>
  <c r="H41" i="5"/>
  <c r="K41" i="5"/>
  <c r="I41" i="5"/>
  <c r="H55" i="5"/>
  <c r="K55" i="5"/>
  <c r="I55" i="5"/>
  <c r="H69" i="5"/>
  <c r="K69" i="5"/>
  <c r="I69" i="5"/>
  <c r="H83" i="5"/>
  <c r="K83" i="5"/>
  <c r="I83" i="5"/>
  <c r="H97" i="5"/>
  <c r="K97" i="5"/>
  <c r="I97" i="5"/>
  <c r="H148" i="5"/>
  <c r="I148" i="5"/>
  <c r="K148" i="5"/>
  <c r="H152" i="5"/>
  <c r="K152" i="5"/>
  <c r="I152" i="5"/>
  <c r="H181" i="5"/>
  <c r="I181" i="5"/>
  <c r="K181" i="5"/>
  <c r="H189" i="5"/>
  <c r="I189" i="5"/>
  <c r="K189" i="5"/>
  <c r="H221" i="5"/>
  <c r="K221" i="5"/>
  <c r="I221" i="5"/>
  <c r="H235" i="5"/>
  <c r="I235" i="5"/>
  <c r="K235" i="5"/>
  <c r="H245" i="5"/>
  <c r="I245" i="5"/>
  <c r="K245" i="5"/>
  <c r="H258" i="5"/>
  <c r="K258" i="5"/>
  <c r="I258" i="5"/>
  <c r="H269" i="5"/>
  <c r="K269" i="5"/>
  <c r="I269" i="5"/>
  <c r="H282" i="5"/>
  <c r="K282" i="5"/>
  <c r="I282" i="5"/>
  <c r="H294" i="5"/>
  <c r="K294" i="5"/>
  <c r="I294" i="5"/>
  <c r="H302" i="5"/>
  <c r="K302" i="5"/>
  <c r="I302" i="5"/>
  <c r="H306" i="5"/>
  <c r="K306" i="5"/>
  <c r="I306" i="5"/>
  <c r="I11" i="5"/>
  <c r="K11" i="5"/>
  <c r="H18" i="5"/>
  <c r="K18" i="5"/>
  <c r="I18" i="5"/>
  <c r="H25" i="5"/>
  <c r="I25" i="5"/>
  <c r="K25" i="5"/>
  <c r="H32" i="5"/>
  <c r="K32" i="5"/>
  <c r="I32" i="5"/>
  <c r="H39" i="5"/>
  <c r="I39" i="5"/>
  <c r="K39" i="5"/>
  <c r="H46" i="5"/>
  <c r="K46" i="5"/>
  <c r="I46" i="5"/>
  <c r="H53" i="5"/>
  <c r="I53" i="5"/>
  <c r="K53" i="5"/>
  <c r="K60" i="5"/>
  <c r="I60" i="5"/>
  <c r="I67" i="5"/>
  <c r="K67" i="5"/>
  <c r="K74" i="5"/>
  <c r="I74" i="5"/>
  <c r="I81" i="5"/>
  <c r="K81" i="5"/>
  <c r="K88" i="5"/>
  <c r="I88" i="5"/>
  <c r="I95" i="5"/>
  <c r="K95" i="5"/>
  <c r="H110" i="5"/>
  <c r="I110" i="5"/>
  <c r="K110" i="5"/>
  <c r="H146" i="5"/>
  <c r="K146" i="5"/>
  <c r="I146" i="5"/>
  <c r="H150" i="5"/>
  <c r="K150" i="5"/>
  <c r="I150" i="5"/>
  <c r="K179" i="5"/>
  <c r="I179" i="5"/>
  <c r="H183" i="5"/>
  <c r="K183" i="5"/>
  <c r="I183" i="5"/>
  <c r="H187" i="5"/>
  <c r="I187" i="5"/>
  <c r="H191" i="5"/>
  <c r="K191" i="5"/>
  <c r="I191" i="5"/>
  <c r="H202" i="5"/>
  <c r="I202" i="5"/>
  <c r="K202" i="5"/>
  <c r="H207" i="5"/>
  <c r="K207" i="5"/>
  <c r="I207" i="5"/>
  <c r="H215" i="5"/>
  <c r="I215" i="5"/>
  <c r="K215" i="5"/>
  <c r="H219" i="5"/>
  <c r="I219" i="5"/>
  <c r="K219" i="5"/>
  <c r="H223" i="5"/>
  <c r="I223" i="5"/>
  <c r="K223" i="5"/>
  <c r="H227" i="5"/>
  <c r="I227" i="5"/>
  <c r="K227" i="5"/>
  <c r="H239" i="5"/>
  <c r="K239" i="5"/>
  <c r="I239" i="5"/>
  <c r="H243" i="5"/>
  <c r="K243" i="5"/>
  <c r="I243" i="5"/>
  <c r="H247" i="5"/>
  <c r="K247" i="5"/>
  <c r="I247" i="5"/>
  <c r="H251" i="5"/>
  <c r="K251" i="5"/>
  <c r="I251" i="5"/>
  <c r="H263" i="5"/>
  <c r="I263" i="5"/>
  <c r="K263" i="5"/>
  <c r="H267" i="5"/>
  <c r="I267" i="5"/>
  <c r="K267" i="5"/>
  <c r="H271" i="5"/>
  <c r="I271" i="5"/>
  <c r="K271" i="5"/>
  <c r="H275" i="5"/>
  <c r="I275" i="5"/>
  <c r="K275" i="5"/>
  <c r="H284" i="5"/>
  <c r="I284" i="5"/>
  <c r="K284" i="5"/>
  <c r="G288" i="5"/>
  <c r="H296" i="5"/>
  <c r="I296" i="5"/>
  <c r="K296" i="5"/>
  <c r="H300" i="5"/>
  <c r="I300" i="5"/>
  <c r="K300" i="5"/>
  <c r="H304" i="5"/>
  <c r="I304" i="5"/>
  <c r="K304" i="5"/>
  <c r="H313" i="5"/>
  <c r="I313" i="5"/>
  <c r="K313" i="5"/>
  <c r="K319" i="5"/>
  <c r="I319" i="5"/>
  <c r="I321" i="5" s="1"/>
  <c r="H16" i="6"/>
  <c r="H37" i="6"/>
  <c r="H53" i="6"/>
  <c r="H92" i="6"/>
  <c r="K92" i="6"/>
  <c r="I92" i="6"/>
  <c r="H116" i="6"/>
  <c r="I116" i="6"/>
  <c r="K116" i="6"/>
  <c r="H139" i="6"/>
  <c r="I139" i="6"/>
  <c r="K139" i="6"/>
  <c r="H11" i="6"/>
  <c r="H18" i="6"/>
  <c r="H25" i="6"/>
  <c r="H32" i="6"/>
  <c r="H39" i="6"/>
  <c r="H46" i="6"/>
  <c r="H50" i="6"/>
  <c r="H54" i="6"/>
  <c r="H83" i="6"/>
  <c r="K83" i="6"/>
  <c r="I83" i="6"/>
  <c r="H89" i="6"/>
  <c r="I89" i="6"/>
  <c r="K89" i="6"/>
  <c r="H94" i="6"/>
  <c r="I94" i="6"/>
  <c r="K94" i="6"/>
  <c r="H102" i="6"/>
  <c r="I102" i="6"/>
  <c r="K102" i="6"/>
  <c r="H106" i="6"/>
  <c r="I106" i="6"/>
  <c r="K106" i="6"/>
  <c r="H113" i="6"/>
  <c r="K113" i="6"/>
  <c r="I113" i="6"/>
  <c r="H117" i="6"/>
  <c r="K117" i="6"/>
  <c r="I117" i="6"/>
  <c r="H124" i="6"/>
  <c r="K124" i="6"/>
  <c r="I124" i="6"/>
  <c r="H128" i="6"/>
  <c r="K128" i="6"/>
  <c r="I128" i="6"/>
  <c r="H132" i="6"/>
  <c r="K132" i="6"/>
  <c r="H140" i="6"/>
  <c r="I140" i="6"/>
  <c r="K140" i="6"/>
  <c r="H144" i="6"/>
  <c r="I144" i="6"/>
  <c r="K144" i="6"/>
  <c r="K150" i="6"/>
  <c r="I150" i="6"/>
  <c r="I152" i="6" s="1"/>
  <c r="H30" i="6"/>
  <c r="H49" i="6"/>
  <c r="H82" i="6"/>
  <c r="I82" i="6"/>
  <c r="K82" i="6"/>
  <c r="H101" i="6"/>
  <c r="K101" i="6"/>
  <c r="I101" i="6"/>
  <c r="H112" i="6"/>
  <c r="I112" i="6"/>
  <c r="K112" i="6"/>
  <c r="H123" i="6"/>
  <c r="I123" i="6"/>
  <c r="K123" i="6"/>
  <c r="H131" i="6"/>
  <c r="I131" i="6"/>
  <c r="K131" i="6"/>
  <c r="H143" i="6"/>
  <c r="I143" i="6"/>
  <c r="K143" i="6"/>
  <c r="H12" i="6"/>
  <c r="H19" i="6"/>
  <c r="H26" i="6"/>
  <c r="H33" i="6"/>
  <c r="H40" i="6"/>
  <c r="H47" i="6"/>
  <c r="H51" i="6"/>
  <c r="H80" i="6"/>
  <c r="K80" i="6"/>
  <c r="I80" i="6"/>
  <c r="H84" i="6"/>
  <c r="K84" i="6"/>
  <c r="I84" i="6"/>
  <c r="H90" i="6"/>
  <c r="I90" i="6"/>
  <c r="K90" i="6"/>
  <c r="H95" i="6"/>
  <c r="K95" i="6"/>
  <c r="I95" i="6"/>
  <c r="H103" i="6"/>
  <c r="K103" i="6"/>
  <c r="I103" i="6"/>
  <c r="H108" i="6"/>
  <c r="K108" i="6"/>
  <c r="I108" i="6"/>
  <c r="H114" i="6"/>
  <c r="K114" i="6"/>
  <c r="I114" i="6"/>
  <c r="H121" i="6"/>
  <c r="K121" i="6"/>
  <c r="I121" i="6"/>
  <c r="H125" i="6"/>
  <c r="K125" i="6"/>
  <c r="I125" i="6"/>
  <c r="H129" i="6"/>
  <c r="K129" i="6"/>
  <c r="I129" i="6"/>
  <c r="H133" i="6"/>
  <c r="H141" i="6"/>
  <c r="K141" i="6"/>
  <c r="I141" i="6"/>
  <c r="H145" i="6"/>
  <c r="K145" i="6"/>
  <c r="I145" i="6"/>
  <c r="H153" i="6"/>
  <c r="I153" i="6"/>
  <c r="K153" i="6"/>
  <c r="H23" i="6"/>
  <c r="H44" i="6"/>
  <c r="H86" i="6"/>
  <c r="I86" i="6"/>
  <c r="K86" i="6"/>
  <c r="H105" i="6"/>
  <c r="I105" i="6"/>
  <c r="K105" i="6"/>
  <c r="H127" i="6"/>
  <c r="I127" i="6"/>
  <c r="K127" i="6"/>
  <c r="H13" i="6"/>
  <c r="H20" i="6"/>
  <c r="H27" i="6"/>
  <c r="H34" i="6"/>
  <c r="H41" i="6"/>
  <c r="H48" i="6"/>
  <c r="H52" i="6"/>
  <c r="H81" i="6"/>
  <c r="I81" i="6"/>
  <c r="K81" i="6"/>
  <c r="H85" i="6"/>
  <c r="I85" i="6"/>
  <c r="K85" i="6"/>
  <c r="K91" i="6"/>
  <c r="I91" i="6"/>
  <c r="H104" i="6"/>
  <c r="K104" i="6"/>
  <c r="I104" i="6"/>
  <c r="H111" i="6"/>
  <c r="I111" i="6"/>
  <c r="I118" i="6" s="1"/>
  <c r="K111" i="6"/>
  <c r="H115" i="6"/>
  <c r="I115" i="6"/>
  <c r="K115" i="6"/>
  <c r="H122" i="6"/>
  <c r="I122" i="6"/>
  <c r="K122" i="6"/>
  <c r="H126" i="6"/>
  <c r="I126" i="6"/>
  <c r="K126" i="6"/>
  <c r="H130" i="6"/>
  <c r="I130" i="6"/>
  <c r="K130" i="6"/>
  <c r="H142" i="6"/>
  <c r="K142" i="6"/>
  <c r="I142" i="6"/>
  <c r="H163" i="8"/>
  <c r="H19" i="8"/>
  <c r="H33" i="8"/>
  <c r="H48" i="8"/>
  <c r="H62" i="8"/>
  <c r="H69" i="8"/>
  <c r="H88" i="8"/>
  <c r="H117" i="8"/>
  <c r="H125" i="8"/>
  <c r="H131" i="8"/>
  <c r="H144" i="8"/>
  <c r="H159" i="8"/>
  <c r="H174" i="8"/>
  <c r="H182" i="8"/>
  <c r="H190" i="8"/>
  <c r="H13" i="8"/>
  <c r="H20" i="8"/>
  <c r="H27" i="8"/>
  <c r="H34" i="8"/>
  <c r="H44" i="8"/>
  <c r="H51" i="8"/>
  <c r="H58" i="8"/>
  <c r="H65" i="8"/>
  <c r="H72" i="8"/>
  <c r="H79" i="8"/>
  <c r="H89" i="8"/>
  <c r="H118" i="8"/>
  <c r="H122" i="8"/>
  <c r="H126" i="8"/>
  <c r="H137" i="8"/>
  <c r="H145" i="8"/>
  <c r="H149" i="8"/>
  <c r="H154" i="8"/>
  <c r="H160" i="8"/>
  <c r="H164" i="8"/>
  <c r="H168" i="8"/>
  <c r="H175" i="8"/>
  <c r="H179" i="8"/>
  <c r="H183" i="8"/>
  <c r="H187" i="8"/>
  <c r="H195" i="8"/>
  <c r="H199" i="8"/>
  <c r="H203" i="8"/>
  <c r="H26" i="8"/>
  <c r="H41" i="8"/>
  <c r="H55" i="8"/>
  <c r="H76" i="8"/>
  <c r="H121" i="8"/>
  <c r="H136" i="8"/>
  <c r="H148" i="8"/>
  <c r="H152" i="8"/>
  <c r="H167" i="8"/>
  <c r="H178" i="8"/>
  <c r="H186" i="8"/>
  <c r="H198" i="8"/>
  <c r="H202" i="8"/>
  <c r="H16" i="8"/>
  <c r="H23" i="8"/>
  <c r="H30" i="8"/>
  <c r="H39" i="8"/>
  <c r="H46" i="8"/>
  <c r="H53" i="8"/>
  <c r="H60" i="8"/>
  <c r="H67" i="8"/>
  <c r="H74" i="8"/>
  <c r="H82" i="8"/>
  <c r="H86" i="8"/>
  <c r="H119" i="8"/>
  <c r="H123" i="8"/>
  <c r="H127" i="8"/>
  <c r="H133" i="8"/>
  <c r="H142" i="8"/>
  <c r="H146" i="8"/>
  <c r="H150" i="8"/>
  <c r="H157" i="8"/>
  <c r="H161" i="8"/>
  <c r="H165" i="8"/>
  <c r="H172" i="8"/>
  <c r="H176" i="8"/>
  <c r="H180" i="8"/>
  <c r="H184" i="8"/>
  <c r="H188" i="8"/>
  <c r="H196" i="8"/>
  <c r="H200" i="8"/>
  <c r="H205" i="8"/>
  <c r="H12" i="8"/>
  <c r="H84" i="8"/>
  <c r="H11" i="8"/>
  <c r="H18" i="8"/>
  <c r="H25" i="8"/>
  <c r="H32" i="8"/>
  <c r="H38" i="8" s="1"/>
  <c r="H40" i="8"/>
  <c r="H47" i="8"/>
  <c r="H54" i="8"/>
  <c r="H61" i="8"/>
  <c r="H68" i="8"/>
  <c r="H75" i="8"/>
  <c r="H83" i="8"/>
  <c r="H87" i="8"/>
  <c r="H116" i="8"/>
  <c r="H120" i="8"/>
  <c r="H124" i="8"/>
  <c r="H130" i="8"/>
  <c r="H135" i="8"/>
  <c r="H143" i="8"/>
  <c r="H147" i="8"/>
  <c r="H151" i="8"/>
  <c r="H158" i="8"/>
  <c r="H162" i="8"/>
  <c r="H166" i="8"/>
  <c r="H173" i="8"/>
  <c r="H177" i="8"/>
  <c r="H181" i="8"/>
  <c r="H185" i="8"/>
  <c r="H189" i="8"/>
  <c r="H197" i="8"/>
  <c r="H201" i="8"/>
  <c r="H70" i="19"/>
  <c r="K70" i="19"/>
  <c r="I70" i="19"/>
  <c r="H104" i="19"/>
  <c r="K104" i="19"/>
  <c r="I104" i="19"/>
  <c r="H108" i="19"/>
  <c r="K108" i="19"/>
  <c r="I108" i="19"/>
  <c r="H114" i="19"/>
  <c r="I114" i="19"/>
  <c r="K114" i="19"/>
  <c r="H119" i="19"/>
  <c r="K119" i="19"/>
  <c r="I119" i="19"/>
  <c r="H127" i="19"/>
  <c r="I127" i="19"/>
  <c r="K127" i="19"/>
  <c r="H131" i="19"/>
  <c r="I131" i="19"/>
  <c r="K131" i="19"/>
  <c r="H139" i="19"/>
  <c r="K139" i="19"/>
  <c r="I139" i="19"/>
  <c r="H71" i="19"/>
  <c r="I71" i="19"/>
  <c r="K71" i="19"/>
  <c r="H69" i="19"/>
  <c r="I69" i="19"/>
  <c r="K69" i="19"/>
  <c r="H103" i="19"/>
  <c r="K103" i="19"/>
  <c r="I103" i="19"/>
  <c r="H111" i="19"/>
  <c r="K111" i="19"/>
  <c r="I111" i="19"/>
  <c r="K126" i="19"/>
  <c r="I126" i="19"/>
  <c r="H134" i="19"/>
  <c r="K134" i="19"/>
  <c r="I134" i="19"/>
  <c r="H72" i="19"/>
  <c r="K72" i="19"/>
  <c r="I72" i="19"/>
  <c r="H73" i="19"/>
  <c r="I73" i="19"/>
  <c r="K73" i="19"/>
  <c r="H105" i="19"/>
  <c r="I105" i="19"/>
  <c r="K105" i="19"/>
  <c r="H109" i="19"/>
  <c r="I109" i="19"/>
  <c r="K109" i="19"/>
  <c r="H115" i="19"/>
  <c r="K115" i="19"/>
  <c r="I115" i="19"/>
  <c r="H120" i="19"/>
  <c r="H128" i="19"/>
  <c r="I128" i="19"/>
  <c r="K128" i="19"/>
  <c r="H132" i="19"/>
  <c r="I132" i="19"/>
  <c r="K132" i="19"/>
  <c r="H136" i="19"/>
  <c r="I136" i="19"/>
  <c r="K136" i="19"/>
  <c r="H75" i="19"/>
  <c r="I75" i="19"/>
  <c r="K75" i="19"/>
  <c r="H107" i="19"/>
  <c r="K107" i="19"/>
  <c r="I107" i="19"/>
  <c r="H117" i="19"/>
  <c r="I117" i="19"/>
  <c r="K117" i="19"/>
  <c r="H130" i="19"/>
  <c r="K130" i="19"/>
  <c r="I130" i="19"/>
  <c r="H68" i="19"/>
  <c r="K68" i="19"/>
  <c r="I68" i="19"/>
  <c r="H74" i="19"/>
  <c r="K74" i="19"/>
  <c r="I74" i="19"/>
  <c r="H102" i="19"/>
  <c r="I102" i="19"/>
  <c r="K102" i="19"/>
  <c r="H106" i="19"/>
  <c r="I106" i="19"/>
  <c r="K106" i="19"/>
  <c r="H110" i="19"/>
  <c r="I110" i="19"/>
  <c r="K110" i="19"/>
  <c r="K116" i="19"/>
  <c r="I116" i="19"/>
  <c r="H121" i="19"/>
  <c r="H129" i="19"/>
  <c r="K129" i="19"/>
  <c r="I129" i="19"/>
  <c r="H133" i="19"/>
  <c r="K133" i="19"/>
  <c r="I133" i="19"/>
  <c r="H76" i="19"/>
  <c r="K76" i="19"/>
  <c r="I76" i="19"/>
  <c r="H20" i="19"/>
  <c r="K20" i="19"/>
  <c r="I20" i="19"/>
  <c r="H48" i="19"/>
  <c r="K48" i="19"/>
  <c r="I48" i="19"/>
  <c r="H51" i="19"/>
  <c r="K51" i="19"/>
  <c r="I51" i="19"/>
  <c r="H13" i="19"/>
  <c r="I13" i="19"/>
  <c r="K13" i="19"/>
  <c r="H25" i="19"/>
  <c r="K25" i="19"/>
  <c r="I25" i="19"/>
  <c r="H33" i="19"/>
  <c r="K33" i="19"/>
  <c r="I33" i="19"/>
  <c r="H41" i="19"/>
  <c r="I41" i="19"/>
  <c r="K41" i="19"/>
  <c r="H53" i="19"/>
  <c r="K53" i="19"/>
  <c r="I53" i="19"/>
  <c r="H61" i="19"/>
  <c r="K61" i="19"/>
  <c r="I61" i="19"/>
  <c r="H44" i="19"/>
  <c r="I44" i="19"/>
  <c r="K44" i="19"/>
  <c r="H16" i="19"/>
  <c r="K16" i="19"/>
  <c r="I16" i="19"/>
  <c r="H40" i="19"/>
  <c r="I40" i="19"/>
  <c r="K40" i="19"/>
  <c r="H23" i="19"/>
  <c r="K23" i="19"/>
  <c r="I23" i="19"/>
  <c r="H18" i="19"/>
  <c r="I18" i="19"/>
  <c r="K18" i="19"/>
  <c r="H26" i="19"/>
  <c r="I26" i="19"/>
  <c r="K26" i="19"/>
  <c r="H34" i="19"/>
  <c r="I34" i="19"/>
  <c r="K34" i="19"/>
  <c r="H46" i="19"/>
  <c r="I46" i="19"/>
  <c r="K46" i="19"/>
  <c r="H54" i="19"/>
  <c r="I54" i="19"/>
  <c r="K54" i="19"/>
  <c r="H62" i="19"/>
  <c r="K62" i="19"/>
  <c r="I62" i="19"/>
  <c r="H65" i="19"/>
  <c r="K65" i="19"/>
  <c r="I65" i="19"/>
  <c r="H37" i="19"/>
  <c r="K37" i="19"/>
  <c r="I37" i="19"/>
  <c r="H12" i="19"/>
  <c r="K12" i="19"/>
  <c r="I12" i="19"/>
  <c r="H32" i="19"/>
  <c r="I32" i="19"/>
  <c r="K32" i="19"/>
  <c r="H60" i="19"/>
  <c r="I60" i="19"/>
  <c r="K60" i="19"/>
  <c r="H11" i="19"/>
  <c r="I11" i="19"/>
  <c r="K11" i="19"/>
  <c r="H19" i="19"/>
  <c r="K19" i="19"/>
  <c r="I19" i="19"/>
  <c r="H27" i="19"/>
  <c r="K27" i="19"/>
  <c r="I27" i="19"/>
  <c r="H39" i="19"/>
  <c r="I39" i="19"/>
  <c r="K39" i="19"/>
  <c r="H47" i="19"/>
  <c r="K47" i="19"/>
  <c r="I47" i="19"/>
  <c r="H55" i="19"/>
  <c r="I55" i="19"/>
  <c r="K55" i="19"/>
  <c r="H58" i="19"/>
  <c r="I58" i="19"/>
  <c r="K58" i="19"/>
  <c r="H30" i="19"/>
  <c r="I30" i="19"/>
  <c r="K30" i="19"/>
  <c r="G176" i="5"/>
  <c r="H11" i="5"/>
  <c r="G17" i="5"/>
  <c r="G94" i="1"/>
  <c r="G59" i="1"/>
  <c r="G80" i="1"/>
  <c r="G52" i="1"/>
  <c r="G108" i="1"/>
  <c r="G73" i="1"/>
  <c r="G211" i="1"/>
  <c r="G38" i="1"/>
  <c r="H145" i="1"/>
  <c r="G174" i="1"/>
  <c r="G24" i="1"/>
  <c r="G45" i="1"/>
  <c r="G101" i="1"/>
  <c r="G66" i="1"/>
  <c r="G193" i="1"/>
  <c r="G31" i="1"/>
  <c r="G87" i="1"/>
  <c r="G122" i="2"/>
  <c r="G100" i="3"/>
  <c r="H116" i="1"/>
  <c r="G118" i="1"/>
  <c r="H10" i="2"/>
  <c r="G16" i="2"/>
  <c r="H31" i="2"/>
  <c r="G37" i="2"/>
  <c r="H52" i="2"/>
  <c r="G58" i="2"/>
  <c r="H73" i="2"/>
  <c r="G79" i="2"/>
  <c r="H24" i="2"/>
  <c r="G30" i="2"/>
  <c r="H212" i="2"/>
  <c r="G227" i="2"/>
  <c r="H88" i="2"/>
  <c r="G97" i="2"/>
  <c r="G168" i="2"/>
  <c r="H17" i="2"/>
  <c r="H23" i="2" s="1"/>
  <c r="G23" i="2"/>
  <c r="H38" i="2"/>
  <c r="G44" i="2"/>
  <c r="H59" i="2"/>
  <c r="G65" i="2"/>
  <c r="H80" i="2"/>
  <c r="G86" i="2"/>
  <c r="H170" i="2"/>
  <c r="G183" i="2"/>
  <c r="H232" i="2"/>
  <c r="G209" i="2"/>
  <c r="H125" i="2"/>
  <c r="G152" i="2"/>
  <c r="H66" i="2"/>
  <c r="G72" i="2"/>
  <c r="H45" i="2"/>
  <c r="G51" i="2"/>
  <c r="H167" i="1"/>
  <c r="H142" i="10"/>
  <c r="G169" i="10"/>
  <c r="H150" i="6"/>
  <c r="H152" i="6" s="1"/>
  <c r="G152" i="6"/>
  <c r="G158" i="6" s="1"/>
  <c r="H319" i="5"/>
  <c r="H321" i="5" s="1"/>
  <c r="G321" i="5"/>
  <c r="G327" i="5" s="1"/>
  <c r="H128" i="4"/>
  <c r="H130" i="4" s="1"/>
  <c r="H145" i="2"/>
  <c r="H204" i="5"/>
  <c r="G212" i="5"/>
  <c r="H165" i="1"/>
  <c r="H142" i="2"/>
  <c r="H117" i="3"/>
  <c r="G125" i="3"/>
  <c r="H77" i="4"/>
  <c r="G85" i="4"/>
  <c r="H91" i="6"/>
  <c r="G99" i="6"/>
  <c r="H132" i="8"/>
  <c r="G140" i="8"/>
  <c r="H99" i="9"/>
  <c r="G107" i="9"/>
  <c r="H162" i="10"/>
  <c r="H116" i="19"/>
  <c r="G124" i="19"/>
  <c r="H45" i="4"/>
  <c r="H65" i="4" s="1"/>
  <c r="G65" i="4"/>
  <c r="H103" i="4"/>
  <c r="G116" i="4"/>
  <c r="H187" i="3"/>
  <c r="H189" i="3" s="1"/>
  <c r="H263" i="1"/>
  <c r="H209" i="10"/>
  <c r="G232" i="10"/>
  <c r="H131" i="9"/>
  <c r="G147" i="9"/>
  <c r="H214" i="5"/>
  <c r="G236" i="5"/>
  <c r="H152" i="3"/>
  <c r="G170" i="3"/>
  <c r="H154" i="2"/>
  <c r="H260" i="1"/>
  <c r="H262" i="1" s="1"/>
  <c r="H176" i="1"/>
  <c r="H53" i="3"/>
  <c r="G59" i="3"/>
  <c r="H39" i="3"/>
  <c r="G45" i="3"/>
  <c r="H60" i="3"/>
  <c r="G66" i="3"/>
  <c r="H46" i="3"/>
  <c r="G52" i="3"/>
  <c r="H240" i="1"/>
  <c r="G258" i="1"/>
  <c r="H195" i="1"/>
  <c r="H140" i="10"/>
  <c r="H51" i="3"/>
  <c r="H255" i="1"/>
  <c r="H83" i="1"/>
  <c r="H97" i="1"/>
  <c r="H107" i="1"/>
  <c r="H72" i="1"/>
  <c r="H16" i="1"/>
  <c r="H74" i="5"/>
  <c r="G80" i="5"/>
  <c r="H95" i="5"/>
  <c r="G101" i="5"/>
  <c r="H30" i="9"/>
  <c r="G37" i="10"/>
  <c r="H31" i="10"/>
  <c r="H37" i="10" s="1"/>
  <c r="G79" i="10"/>
  <c r="H73" i="10"/>
  <c r="H79" i="10" s="1"/>
  <c r="G185" i="19"/>
  <c r="H181" i="19"/>
  <c r="G44" i="10"/>
  <c r="H38" i="10"/>
  <c r="H44" i="10" s="1"/>
  <c r="G219" i="8"/>
  <c r="H214" i="8"/>
  <c r="H219" i="8" s="1"/>
  <c r="H121" i="1"/>
  <c r="H142" i="1" s="1"/>
  <c r="H60" i="5"/>
  <c r="G66" i="5"/>
  <c r="H81" i="5"/>
  <c r="G87" i="5"/>
  <c r="H109" i="5"/>
  <c r="H115" i="5" s="1"/>
  <c r="G115" i="5"/>
  <c r="H262" i="5"/>
  <c r="H158" i="5"/>
  <c r="H176" i="5" s="1"/>
  <c r="G137" i="19"/>
  <c r="H126" i="19"/>
  <c r="H67" i="5"/>
  <c r="G73" i="5"/>
  <c r="H88" i="5"/>
  <c r="G94" i="5"/>
  <c r="G317" i="5"/>
  <c r="H316" i="5"/>
  <c r="H179" i="5"/>
  <c r="H113" i="8"/>
  <c r="G16" i="10"/>
  <c r="H10" i="10"/>
  <c r="H16" i="10" s="1"/>
  <c r="H186" i="2"/>
  <c r="G23" i="10"/>
  <c r="H17" i="10"/>
  <c r="H23" i="10" s="1"/>
  <c r="G65" i="10"/>
  <c r="H59" i="10"/>
  <c r="H65" i="10" s="1"/>
  <c r="G30" i="10"/>
  <c r="H24" i="10"/>
  <c r="H30" i="10" s="1"/>
  <c r="G72" i="10"/>
  <c r="H66" i="10"/>
  <c r="H72" i="10" s="1"/>
  <c r="G192" i="8"/>
  <c r="H101" i="14"/>
  <c r="K101" i="14" s="1"/>
  <c r="O101" i="14" s="1"/>
  <c r="T101" i="14" s="1"/>
  <c r="G113" i="8"/>
  <c r="G170" i="19"/>
  <c r="G99" i="19"/>
  <c r="G77" i="19"/>
  <c r="G188" i="10"/>
  <c r="G253" i="10"/>
  <c r="G140" i="10"/>
  <c r="G86" i="10"/>
  <c r="G93" i="10"/>
  <c r="G107" i="10"/>
  <c r="G58" i="10"/>
  <c r="G51" i="10"/>
  <c r="G100" i="10"/>
  <c r="G118" i="9"/>
  <c r="G84" i="9"/>
  <c r="G77" i="6"/>
  <c r="H58" i="6"/>
  <c r="G148" i="6"/>
  <c r="G136" i="6"/>
  <c r="G118" i="6"/>
  <c r="G109" i="6"/>
  <c r="G38" i="6"/>
  <c r="G17" i="6"/>
  <c r="G24" i="6"/>
  <c r="G31" i="6"/>
  <c r="G45" i="6"/>
  <c r="G55" i="6"/>
  <c r="G100" i="4"/>
  <c r="G93" i="4"/>
  <c r="H80" i="3"/>
  <c r="G137" i="3"/>
  <c r="H137" i="3" s="1"/>
  <c r="G149" i="3"/>
  <c r="G17" i="3"/>
  <c r="G31" i="3"/>
  <c r="G38" i="3"/>
  <c r="G77" i="3"/>
  <c r="G24" i="3"/>
  <c r="H101" i="2"/>
  <c r="H122" i="2" s="1"/>
  <c r="H39" i="1"/>
  <c r="H67" i="1"/>
  <c r="H95" i="1"/>
  <c r="H32" i="1"/>
  <c r="H60" i="1"/>
  <c r="H88" i="1"/>
  <c r="H25" i="1"/>
  <c r="H53" i="1"/>
  <c r="H81" i="1"/>
  <c r="H109" i="1"/>
  <c r="H18" i="1"/>
  <c r="H46" i="1"/>
  <c r="H74" i="1"/>
  <c r="H102" i="1"/>
  <c r="H11" i="1"/>
  <c r="G31" i="19"/>
  <c r="G17" i="19"/>
  <c r="G45" i="19"/>
  <c r="G118" i="10"/>
  <c r="G24" i="5"/>
  <c r="G31" i="5"/>
  <c r="G38" i="5"/>
  <c r="G45" i="5"/>
  <c r="G52" i="5"/>
  <c r="G59" i="5"/>
  <c r="G154" i="5"/>
  <c r="I59" i="14"/>
  <c r="L59" i="14" s="1"/>
  <c r="P59" i="14" s="1"/>
  <c r="U59" i="14" s="1"/>
  <c r="G16" i="4"/>
  <c r="G23" i="4"/>
  <c r="G30" i="4"/>
  <c r="G41" i="4"/>
  <c r="G17" i="8"/>
  <c r="G24" i="8"/>
  <c r="G31" i="8"/>
  <c r="G38" i="8"/>
  <c r="G45" i="8"/>
  <c r="G52" i="8"/>
  <c r="G59" i="8"/>
  <c r="G66" i="8"/>
  <c r="G73" i="8"/>
  <c r="G80" i="8"/>
  <c r="G91" i="8"/>
  <c r="G209" i="8"/>
  <c r="G16" i="9"/>
  <c r="G23" i="9"/>
  <c r="G30" i="9"/>
  <c r="G37" i="9"/>
  <c r="G44" i="9"/>
  <c r="G51" i="9"/>
  <c r="G62" i="9"/>
  <c r="G160" i="9"/>
  <c r="G170" i="9"/>
  <c r="I23" i="14"/>
  <c r="L23" i="14" s="1"/>
  <c r="P23" i="14" s="1"/>
  <c r="U23" i="14" s="1"/>
  <c r="G126" i="4"/>
  <c r="H96" i="14"/>
  <c r="K96" i="14" s="1"/>
  <c r="O96" i="14" s="1"/>
  <c r="T96" i="14" s="1"/>
  <c r="G185" i="3"/>
  <c r="G96" i="14"/>
  <c r="J96" i="14" s="1"/>
  <c r="N96" i="14" s="1"/>
  <c r="G66" i="19"/>
  <c r="G59" i="19"/>
  <c r="G52" i="19"/>
  <c r="I80" i="14"/>
  <c r="L80" i="14" s="1"/>
  <c r="P80" i="14" s="1"/>
  <c r="U80" i="14" s="1"/>
  <c r="G112" i="14"/>
  <c r="J112" i="14" s="1"/>
  <c r="N112" i="14" s="1"/>
  <c r="G38" i="19"/>
  <c r="G24" i="19"/>
  <c r="G206" i="10"/>
  <c r="G128" i="9"/>
  <c r="G155" i="8"/>
  <c r="G169" i="8"/>
  <c r="G259" i="5"/>
  <c r="H12" i="14"/>
  <c r="K12" i="14" s="1"/>
  <c r="O12" i="14" s="1"/>
  <c r="I52" i="14"/>
  <c r="L52" i="14" s="1"/>
  <c r="P52" i="14" s="1"/>
  <c r="U52" i="14" s="1"/>
  <c r="G12" i="14"/>
  <c r="J12" i="14" s="1"/>
  <c r="I73" i="14"/>
  <c r="L73" i="14" s="1"/>
  <c r="P73" i="14" s="1"/>
  <c r="U73" i="14" s="1"/>
  <c r="G43" i="14"/>
  <c r="J43" i="14" s="1"/>
  <c r="N43" i="14" s="1"/>
  <c r="I43" i="14"/>
  <c r="L43" i="14" s="1"/>
  <c r="P43" i="14" s="1"/>
  <c r="U43" i="14" s="1"/>
  <c r="I61" i="14"/>
  <c r="L61" i="14" s="1"/>
  <c r="P61" i="14" s="1"/>
  <c r="U61" i="14" s="1"/>
  <c r="H71" i="14"/>
  <c r="K71" i="14" s="1"/>
  <c r="O71" i="14" s="1"/>
  <c r="T71" i="14" s="1"/>
  <c r="I71" i="14"/>
  <c r="L71" i="14" s="1"/>
  <c r="P71" i="14" s="1"/>
  <c r="U71" i="14" s="1"/>
  <c r="H86" i="14"/>
  <c r="K86" i="14" s="1"/>
  <c r="O86" i="14" s="1"/>
  <c r="T86" i="14" s="1"/>
  <c r="G91" i="14"/>
  <c r="J91" i="14" s="1"/>
  <c r="I91" i="14"/>
  <c r="L91" i="14" s="1"/>
  <c r="P91" i="14" s="1"/>
  <c r="U91" i="14" s="1"/>
  <c r="H91" i="14"/>
  <c r="K91" i="14" s="1"/>
  <c r="O91" i="14" s="1"/>
  <c r="T91" i="14" s="1"/>
  <c r="G105" i="14"/>
  <c r="J105" i="14" s="1"/>
  <c r="M105" i="14" s="1"/>
  <c r="I105" i="14"/>
  <c r="L105" i="14" s="1"/>
  <c r="P105" i="14" s="1"/>
  <c r="U105" i="14" s="1"/>
  <c r="H43" i="14"/>
  <c r="K43" i="14" s="1"/>
  <c r="O43" i="14" s="1"/>
  <c r="T43" i="14" s="1"/>
  <c r="I122" i="14"/>
  <c r="L122" i="14" s="1"/>
  <c r="P122" i="14" s="1"/>
  <c r="U122" i="14" s="1"/>
  <c r="H122" i="14"/>
  <c r="K122" i="14" s="1"/>
  <c r="O122" i="14" s="1"/>
  <c r="T122" i="14" s="1"/>
  <c r="AG129" i="14"/>
  <c r="N17" i="16"/>
  <c r="I97" i="14"/>
  <c r="L97" i="14" s="1"/>
  <c r="P97" i="14" s="1"/>
  <c r="U97" i="14" s="1"/>
  <c r="I110" i="14"/>
  <c r="L110" i="14" s="1"/>
  <c r="P110" i="14" s="1"/>
  <c r="U110" i="14" s="1"/>
  <c r="I128" i="14"/>
  <c r="L128" i="14" s="1"/>
  <c r="P128" i="14" s="1"/>
  <c r="U128" i="14" s="1"/>
  <c r="G74" i="14"/>
  <c r="J74" i="14" s="1"/>
  <c r="N74" i="14" s="1"/>
  <c r="I106" i="14"/>
  <c r="L106" i="14" s="1"/>
  <c r="P106" i="14" s="1"/>
  <c r="U106" i="14" s="1"/>
  <c r="H114" i="14"/>
  <c r="K114" i="14" s="1"/>
  <c r="O114" i="14" s="1"/>
  <c r="T114" i="14" s="1"/>
  <c r="I123" i="14"/>
  <c r="L123" i="14" s="1"/>
  <c r="P123" i="14" s="1"/>
  <c r="U123" i="14" s="1"/>
  <c r="I36" i="14"/>
  <c r="L36" i="14" s="1"/>
  <c r="P36" i="14" s="1"/>
  <c r="U36" i="14" s="1"/>
  <c r="I44" i="14"/>
  <c r="L44" i="14" s="1"/>
  <c r="P44" i="14" s="1"/>
  <c r="U44" i="14" s="1"/>
  <c r="G67" i="14"/>
  <c r="J67" i="14" s="1"/>
  <c r="G87" i="14"/>
  <c r="J87" i="14" s="1"/>
  <c r="N87" i="14" s="1"/>
  <c r="I92" i="14"/>
  <c r="L92" i="14" s="1"/>
  <c r="P92" i="14" s="1"/>
  <c r="U92" i="14" s="1"/>
  <c r="I101" i="14"/>
  <c r="L101" i="14" s="1"/>
  <c r="P101" i="14" s="1"/>
  <c r="U101" i="14" s="1"/>
  <c r="H13" i="14"/>
  <c r="K13" i="14" s="1"/>
  <c r="O13" i="14" s="1"/>
  <c r="T13" i="14" s="1"/>
  <c r="H59" i="14"/>
  <c r="K59" i="14" s="1"/>
  <c r="O59" i="14" s="1"/>
  <c r="T59" i="14" s="1"/>
  <c r="I69" i="14"/>
  <c r="L69" i="14" s="1"/>
  <c r="P69" i="14" s="1"/>
  <c r="U69" i="14" s="1"/>
  <c r="H78" i="14"/>
  <c r="K78" i="14" s="1"/>
  <c r="O78" i="14" s="1"/>
  <c r="T78" i="14" s="1"/>
  <c r="G94" i="14"/>
  <c r="J94" i="14" s="1"/>
  <c r="N94" i="14" s="1"/>
  <c r="S94" i="14" s="1"/>
  <c r="W94" i="14" s="1"/>
  <c r="X94" i="14" s="1"/>
  <c r="Y94" i="14" s="1"/>
  <c r="H97" i="14"/>
  <c r="K97" i="14" s="1"/>
  <c r="O97" i="14" s="1"/>
  <c r="T97" i="14" s="1"/>
  <c r="G108" i="14"/>
  <c r="J108" i="14" s="1"/>
  <c r="N108" i="14" s="1"/>
  <c r="I114" i="14"/>
  <c r="L114" i="14" s="1"/>
  <c r="P114" i="14" s="1"/>
  <c r="U114" i="14" s="1"/>
  <c r="I124" i="14"/>
  <c r="L124" i="14" s="1"/>
  <c r="P124" i="14" s="1"/>
  <c r="U124" i="14" s="1"/>
  <c r="I27" i="14"/>
  <c r="L27" i="14" s="1"/>
  <c r="P27" i="14" s="1"/>
  <c r="U27" i="14" s="1"/>
  <c r="G27" i="14"/>
  <c r="J27" i="14" s="1"/>
  <c r="H27" i="14"/>
  <c r="K27" i="14" s="1"/>
  <c r="O27" i="14" s="1"/>
  <c r="T27" i="14" s="1"/>
  <c r="I14" i="14"/>
  <c r="L14" i="14" s="1"/>
  <c r="P14" i="14" s="1"/>
  <c r="U14" i="14" s="1"/>
  <c r="H14" i="14"/>
  <c r="K14" i="14" s="1"/>
  <c r="O14" i="14" s="1"/>
  <c r="T14" i="14" s="1"/>
  <c r="H31" i="14"/>
  <c r="K31" i="14" s="1"/>
  <c r="O31" i="14" s="1"/>
  <c r="T31" i="14" s="1"/>
  <c r="G48" i="14"/>
  <c r="J48" i="14" s="1"/>
  <c r="N48" i="14" s="1"/>
  <c r="S48" i="14" s="1"/>
  <c r="W48" i="14" s="1"/>
  <c r="X48" i="14" s="1"/>
  <c r="Y48" i="14" s="1"/>
  <c r="I48" i="14"/>
  <c r="L48" i="14" s="1"/>
  <c r="P48" i="14" s="1"/>
  <c r="U48" i="14" s="1"/>
  <c r="H48" i="14"/>
  <c r="K48" i="14" s="1"/>
  <c r="O48" i="14" s="1"/>
  <c r="T48" i="14" s="1"/>
  <c r="H55" i="14"/>
  <c r="K55" i="14" s="1"/>
  <c r="O55" i="14" s="1"/>
  <c r="T55" i="14" s="1"/>
  <c r="I55" i="14"/>
  <c r="L55" i="14" s="1"/>
  <c r="P55" i="14" s="1"/>
  <c r="U55" i="14" s="1"/>
  <c r="G13" i="14"/>
  <c r="J13" i="14" s="1"/>
  <c r="M13" i="14" s="1"/>
  <c r="I22" i="14"/>
  <c r="L22" i="14" s="1"/>
  <c r="P22" i="14" s="1"/>
  <c r="U22" i="14" s="1"/>
  <c r="I24" i="14"/>
  <c r="L24" i="14" s="1"/>
  <c r="P24" i="14" s="1"/>
  <c r="U24" i="14" s="1"/>
  <c r="I39" i="14"/>
  <c r="L39" i="14" s="1"/>
  <c r="P39" i="14" s="1"/>
  <c r="U39" i="14" s="1"/>
  <c r="H39" i="14"/>
  <c r="K39" i="14" s="1"/>
  <c r="O39" i="14" s="1"/>
  <c r="T39" i="14" s="1"/>
  <c r="H51" i="14"/>
  <c r="K51" i="14" s="1"/>
  <c r="O51" i="14" s="1"/>
  <c r="T51" i="14" s="1"/>
  <c r="I51" i="14"/>
  <c r="L51" i="14" s="1"/>
  <c r="P51" i="14" s="1"/>
  <c r="U51" i="14" s="1"/>
  <c r="G60" i="14"/>
  <c r="J60" i="14" s="1"/>
  <c r="N60" i="14" s="1"/>
  <c r="S60" i="14" s="1"/>
  <c r="W60" i="14" s="1"/>
  <c r="X60" i="14" s="1"/>
  <c r="Y60" i="14" s="1"/>
  <c r="I60" i="14"/>
  <c r="L60" i="14" s="1"/>
  <c r="P60" i="14" s="1"/>
  <c r="U60" i="14" s="1"/>
  <c r="H60" i="14"/>
  <c r="K60" i="14" s="1"/>
  <c r="O60" i="14" s="1"/>
  <c r="T60" i="14" s="1"/>
  <c r="G72" i="14"/>
  <c r="J72" i="14" s="1"/>
  <c r="N72" i="14" s="1"/>
  <c r="I72" i="14"/>
  <c r="L72" i="14" s="1"/>
  <c r="P72" i="14" s="1"/>
  <c r="U72" i="14" s="1"/>
  <c r="H72" i="14"/>
  <c r="K72" i="14" s="1"/>
  <c r="O72" i="14" s="1"/>
  <c r="T72" i="14" s="1"/>
  <c r="H84" i="14"/>
  <c r="K84" i="14" s="1"/>
  <c r="O84" i="14" s="1"/>
  <c r="T84" i="14" s="1"/>
  <c r="I84" i="14"/>
  <c r="L84" i="14" s="1"/>
  <c r="P84" i="14" s="1"/>
  <c r="U84" i="14" s="1"/>
  <c r="H67" i="14"/>
  <c r="K67" i="14" s="1"/>
  <c r="O67" i="14" s="1"/>
  <c r="T67" i="14" s="1"/>
  <c r="H74" i="14"/>
  <c r="K74" i="14" s="1"/>
  <c r="O74" i="14" s="1"/>
  <c r="T74" i="14" s="1"/>
  <c r="H87" i="14"/>
  <c r="K87" i="14" s="1"/>
  <c r="O87" i="14" s="1"/>
  <c r="T87" i="14" s="1"/>
  <c r="H94" i="14"/>
  <c r="K94" i="14" s="1"/>
  <c r="O94" i="14" s="1"/>
  <c r="T94" i="14" s="1"/>
  <c r="I98" i="14"/>
  <c r="L98" i="14" s="1"/>
  <c r="P98" i="14" s="1"/>
  <c r="U98" i="14" s="1"/>
  <c r="I108" i="14"/>
  <c r="L108" i="14" s="1"/>
  <c r="P108" i="14" s="1"/>
  <c r="U108" i="14" s="1"/>
  <c r="I112" i="14"/>
  <c r="L112" i="14" s="1"/>
  <c r="P112" i="14" s="1"/>
  <c r="U112" i="14" s="1"/>
  <c r="G116" i="14"/>
  <c r="J116" i="14" s="1"/>
  <c r="N116" i="14" s="1"/>
  <c r="G118" i="14"/>
  <c r="J118" i="14" s="1"/>
  <c r="N118" i="14" s="1"/>
  <c r="H120" i="14"/>
  <c r="K120" i="14" s="1"/>
  <c r="O120" i="14" s="1"/>
  <c r="T120" i="14" s="1"/>
  <c r="G126" i="14"/>
  <c r="J126" i="14" s="1"/>
  <c r="N126" i="14" s="1"/>
  <c r="H127" i="14"/>
  <c r="K127" i="14" s="1"/>
  <c r="O127" i="14" s="1"/>
  <c r="T127" i="14" s="1"/>
  <c r="H35" i="14"/>
  <c r="K35" i="14" s="1"/>
  <c r="O35" i="14" s="1"/>
  <c r="T35" i="14" s="1"/>
  <c r="I40" i="14"/>
  <c r="L40" i="14" s="1"/>
  <c r="P40" i="14" s="1"/>
  <c r="U40" i="14" s="1"/>
  <c r="H44" i="14"/>
  <c r="K44" i="14" s="1"/>
  <c r="O44" i="14" s="1"/>
  <c r="T44" i="14" s="1"/>
  <c r="H52" i="14"/>
  <c r="K52" i="14" s="1"/>
  <c r="O52" i="14" s="1"/>
  <c r="T52" i="14" s="1"/>
  <c r="G78" i="14"/>
  <c r="J78" i="14" s="1"/>
  <c r="M78" i="14" s="1"/>
  <c r="G86" i="14"/>
  <c r="J86" i="14" s="1"/>
  <c r="M86" i="14" s="1"/>
  <c r="I88" i="14"/>
  <c r="L88" i="14" s="1"/>
  <c r="P88" i="14" s="1"/>
  <c r="U88" i="14" s="1"/>
  <c r="I102" i="14"/>
  <c r="L102" i="14" s="1"/>
  <c r="P102" i="14" s="1"/>
  <c r="U102" i="14" s="1"/>
  <c r="G110" i="14"/>
  <c r="J110" i="14" s="1"/>
  <c r="N110" i="14" s="1"/>
  <c r="H116" i="14"/>
  <c r="K116" i="14" s="1"/>
  <c r="O116" i="14" s="1"/>
  <c r="T116" i="14" s="1"/>
  <c r="H118" i="14"/>
  <c r="K118" i="14" s="1"/>
  <c r="O118" i="14" s="1"/>
  <c r="T118" i="14" s="1"/>
  <c r="I120" i="14"/>
  <c r="L120" i="14" s="1"/>
  <c r="P120" i="14" s="1"/>
  <c r="U120" i="14" s="1"/>
  <c r="H123" i="14"/>
  <c r="K123" i="14" s="1"/>
  <c r="O123" i="14" s="1"/>
  <c r="T123" i="14" s="1"/>
  <c r="H126" i="14"/>
  <c r="K126" i="14" s="1"/>
  <c r="O126" i="14" s="1"/>
  <c r="T126" i="14" s="1"/>
  <c r="I127" i="14"/>
  <c r="L127" i="14" s="1"/>
  <c r="P127" i="14" s="1"/>
  <c r="U127" i="14" s="1"/>
  <c r="G149" i="19"/>
  <c r="G16" i="14"/>
  <c r="J16" i="14" s="1"/>
  <c r="N16" i="14" s="1"/>
  <c r="H18" i="14"/>
  <c r="K18" i="14" s="1"/>
  <c r="O18" i="14" s="1"/>
  <c r="T18" i="14" s="1"/>
  <c r="H19" i="14"/>
  <c r="K19" i="14" s="1"/>
  <c r="O19" i="14" s="1"/>
  <c r="T19" i="14" s="1"/>
  <c r="G47" i="14"/>
  <c r="J47" i="14" s="1"/>
  <c r="N47" i="14" s="1"/>
  <c r="G63" i="14"/>
  <c r="J63" i="14" s="1"/>
  <c r="H68" i="14"/>
  <c r="K68" i="14" s="1"/>
  <c r="O68" i="14" s="1"/>
  <c r="T68" i="14" s="1"/>
  <c r="H79" i="14"/>
  <c r="K79" i="14" s="1"/>
  <c r="O79" i="14" s="1"/>
  <c r="T79" i="14" s="1"/>
  <c r="G82" i="14"/>
  <c r="J82" i="14" s="1"/>
  <c r="N82" i="14" s="1"/>
  <c r="H83" i="14"/>
  <c r="K83" i="14" s="1"/>
  <c r="O83" i="14" s="1"/>
  <c r="T83" i="14" s="1"/>
  <c r="AH129" i="14"/>
  <c r="H16" i="14"/>
  <c r="K16" i="14" s="1"/>
  <c r="O16" i="14" s="1"/>
  <c r="T16" i="14" s="1"/>
  <c r="I18" i="14"/>
  <c r="L18" i="14" s="1"/>
  <c r="P18" i="14" s="1"/>
  <c r="U18" i="14" s="1"/>
  <c r="I19" i="14"/>
  <c r="L19" i="14" s="1"/>
  <c r="P19" i="14" s="1"/>
  <c r="U19" i="14" s="1"/>
  <c r="H20" i="14"/>
  <c r="K20" i="14" s="1"/>
  <c r="O20" i="14" s="1"/>
  <c r="T20" i="14" s="1"/>
  <c r="H21" i="14"/>
  <c r="K21" i="14" s="1"/>
  <c r="O21" i="14" s="1"/>
  <c r="T21" i="14" s="1"/>
  <c r="H28" i="14"/>
  <c r="K28" i="14" s="1"/>
  <c r="O28" i="14" s="1"/>
  <c r="T28" i="14" s="1"/>
  <c r="H32" i="14"/>
  <c r="K32" i="14" s="1"/>
  <c r="O32" i="14" s="1"/>
  <c r="T32" i="14" s="1"/>
  <c r="I37" i="14"/>
  <c r="L37" i="14" s="1"/>
  <c r="P37" i="14" s="1"/>
  <c r="U37" i="14" s="1"/>
  <c r="G40" i="14"/>
  <c r="J40" i="14" s="1"/>
  <c r="N40" i="14" s="1"/>
  <c r="I41" i="14"/>
  <c r="L41" i="14" s="1"/>
  <c r="P41" i="14" s="1"/>
  <c r="U41" i="14" s="1"/>
  <c r="H47" i="14"/>
  <c r="K47" i="14" s="1"/>
  <c r="O47" i="14" s="1"/>
  <c r="T47" i="14" s="1"/>
  <c r="G51" i="14"/>
  <c r="J51" i="14" s="1"/>
  <c r="N51" i="14" s="1"/>
  <c r="G55" i="14"/>
  <c r="J55" i="14" s="1"/>
  <c r="N55" i="14" s="1"/>
  <c r="H56" i="14"/>
  <c r="K56" i="14" s="1"/>
  <c r="O56" i="14" s="1"/>
  <c r="T56" i="14" s="1"/>
  <c r="H63" i="14"/>
  <c r="K63" i="14" s="1"/>
  <c r="O63" i="14" s="1"/>
  <c r="T63" i="14" s="1"/>
  <c r="H64" i="14"/>
  <c r="K64" i="14" s="1"/>
  <c r="O64" i="14" s="1"/>
  <c r="T64" i="14" s="1"/>
  <c r="I65" i="14"/>
  <c r="L65" i="14" s="1"/>
  <c r="P65" i="14" s="1"/>
  <c r="U65" i="14" s="1"/>
  <c r="I68" i="14"/>
  <c r="L68" i="14" s="1"/>
  <c r="P68" i="14" s="1"/>
  <c r="U68" i="14" s="1"/>
  <c r="G71" i="14"/>
  <c r="J71" i="14" s="1"/>
  <c r="N71" i="14" s="1"/>
  <c r="H75" i="14"/>
  <c r="K75" i="14" s="1"/>
  <c r="O75" i="14" s="1"/>
  <c r="T75" i="14" s="1"/>
  <c r="I76" i="14"/>
  <c r="L76" i="14" s="1"/>
  <c r="P76" i="14" s="1"/>
  <c r="U76" i="14" s="1"/>
  <c r="I79" i="14"/>
  <c r="L79" i="14" s="1"/>
  <c r="P79" i="14" s="1"/>
  <c r="U79" i="14" s="1"/>
  <c r="H82" i="14"/>
  <c r="K82" i="14" s="1"/>
  <c r="O82" i="14" s="1"/>
  <c r="T82" i="14" s="1"/>
  <c r="I83" i="14"/>
  <c r="L83" i="14" s="1"/>
  <c r="P83" i="14" s="1"/>
  <c r="U83" i="14" s="1"/>
  <c r="G90" i="14"/>
  <c r="J90" i="14" s="1"/>
  <c r="N90" i="14" s="1"/>
  <c r="G100" i="14"/>
  <c r="J100" i="14" s="1"/>
  <c r="G104" i="14"/>
  <c r="J104" i="14" s="1"/>
  <c r="N104" i="14" s="1"/>
  <c r="G15" i="14"/>
  <c r="J15" i="14" s="1"/>
  <c r="N15" i="14" s="1"/>
  <c r="AD23" i="14"/>
  <c r="G14" i="14"/>
  <c r="J14" i="14" s="1"/>
  <c r="N14" i="14" s="1"/>
  <c r="H15" i="14"/>
  <c r="K15" i="14" s="1"/>
  <c r="O15" i="14" s="1"/>
  <c r="T15" i="14" s="1"/>
  <c r="I20" i="14"/>
  <c r="L20" i="14" s="1"/>
  <c r="P20" i="14" s="1"/>
  <c r="U20" i="14" s="1"/>
  <c r="I21" i="14"/>
  <c r="L21" i="14" s="1"/>
  <c r="P21" i="14" s="1"/>
  <c r="U21" i="14" s="1"/>
  <c r="H22" i="14"/>
  <c r="K22" i="14" s="1"/>
  <c r="O22" i="14" s="1"/>
  <c r="T22" i="14" s="1"/>
  <c r="H23" i="14"/>
  <c r="K23" i="14" s="1"/>
  <c r="O23" i="14" s="1"/>
  <c r="T23" i="14" s="1"/>
  <c r="H24" i="14"/>
  <c r="K24" i="14" s="1"/>
  <c r="O24" i="14" s="1"/>
  <c r="T24" i="14" s="1"/>
  <c r="I28" i="14"/>
  <c r="L28" i="14" s="1"/>
  <c r="P28" i="14" s="1"/>
  <c r="U28" i="14" s="1"/>
  <c r="G31" i="14"/>
  <c r="J31" i="14" s="1"/>
  <c r="N31" i="14" s="1"/>
  <c r="I32" i="14"/>
  <c r="L32" i="14" s="1"/>
  <c r="P32" i="14" s="1"/>
  <c r="U32" i="14" s="1"/>
  <c r="G35" i="14"/>
  <c r="J35" i="14" s="1"/>
  <c r="N35" i="14" s="1"/>
  <c r="H36" i="14"/>
  <c r="K36" i="14" s="1"/>
  <c r="O36" i="14" s="1"/>
  <c r="T36" i="14" s="1"/>
  <c r="I56" i="14"/>
  <c r="L56" i="14" s="1"/>
  <c r="P56" i="14" s="1"/>
  <c r="U56" i="14" s="1"/>
  <c r="I64" i="14"/>
  <c r="L64" i="14" s="1"/>
  <c r="P64" i="14" s="1"/>
  <c r="U64" i="14" s="1"/>
  <c r="I75" i="14"/>
  <c r="L75" i="14" s="1"/>
  <c r="P75" i="14" s="1"/>
  <c r="U75" i="14" s="1"/>
  <c r="H90" i="14"/>
  <c r="K90" i="14" s="1"/>
  <c r="O90" i="14" s="1"/>
  <c r="T90" i="14" s="1"/>
  <c r="H100" i="14"/>
  <c r="K100" i="14" s="1"/>
  <c r="O100" i="14" s="1"/>
  <c r="T100" i="14" s="1"/>
  <c r="H104" i="14"/>
  <c r="K104" i="14" s="1"/>
  <c r="O104" i="14" s="1"/>
  <c r="T104" i="14" s="1"/>
  <c r="T8" i="16"/>
  <c r="T12" i="16"/>
  <c r="T7" i="16"/>
  <c r="T11" i="16"/>
  <c r="T15" i="16"/>
  <c r="L12" i="14"/>
  <c r="N17" i="14"/>
  <c r="I30" i="14"/>
  <c r="L30" i="14" s="1"/>
  <c r="P30" i="14" s="1"/>
  <c r="U30" i="14" s="1"/>
  <c r="H30" i="14"/>
  <c r="K30" i="14" s="1"/>
  <c r="O30" i="14" s="1"/>
  <c r="T30" i="14" s="1"/>
  <c r="N36" i="14"/>
  <c r="H25" i="14"/>
  <c r="K25" i="14" s="1"/>
  <c r="O25" i="14" s="1"/>
  <c r="T25" i="14" s="1"/>
  <c r="G25" i="14"/>
  <c r="J25" i="14" s="1"/>
  <c r="G30" i="14"/>
  <c r="J30" i="14" s="1"/>
  <c r="H33" i="14"/>
  <c r="K33" i="14" s="1"/>
  <c r="O33" i="14" s="1"/>
  <c r="T33" i="14" s="1"/>
  <c r="G33" i="14"/>
  <c r="J33" i="14" s="1"/>
  <c r="N34" i="14"/>
  <c r="N39" i="14"/>
  <c r="AI129" i="14"/>
  <c r="H17" i="14"/>
  <c r="K17" i="14" s="1"/>
  <c r="O17" i="14" s="1"/>
  <c r="T17" i="14" s="1"/>
  <c r="I25" i="14"/>
  <c r="L25" i="14" s="1"/>
  <c r="P25" i="14" s="1"/>
  <c r="U25" i="14" s="1"/>
  <c r="I26" i="14"/>
  <c r="L26" i="14" s="1"/>
  <c r="P26" i="14" s="1"/>
  <c r="U26" i="14" s="1"/>
  <c r="H26" i="14"/>
  <c r="K26" i="14" s="1"/>
  <c r="O26" i="14" s="1"/>
  <c r="T26" i="14" s="1"/>
  <c r="N26" i="14"/>
  <c r="I33" i="14"/>
  <c r="L33" i="14" s="1"/>
  <c r="P33" i="14" s="1"/>
  <c r="U33" i="14" s="1"/>
  <c r="I34" i="14"/>
  <c r="L34" i="14" s="1"/>
  <c r="P34" i="14" s="1"/>
  <c r="U34" i="14" s="1"/>
  <c r="H34" i="14"/>
  <c r="K34" i="14" s="1"/>
  <c r="O34" i="14" s="1"/>
  <c r="T34" i="14" s="1"/>
  <c r="C129" i="14"/>
  <c r="I17" i="14"/>
  <c r="L17" i="14" s="1"/>
  <c r="P17" i="14" s="1"/>
  <c r="U17" i="14" s="1"/>
  <c r="M20" i="14"/>
  <c r="H29" i="14"/>
  <c r="K29" i="14" s="1"/>
  <c r="O29" i="14" s="1"/>
  <c r="T29" i="14" s="1"/>
  <c r="G29" i="14"/>
  <c r="J29" i="14" s="1"/>
  <c r="N50" i="14"/>
  <c r="I46" i="14"/>
  <c r="L46" i="14" s="1"/>
  <c r="P46" i="14" s="1"/>
  <c r="U46" i="14" s="1"/>
  <c r="H46" i="14"/>
  <c r="K46" i="14" s="1"/>
  <c r="O46" i="14" s="1"/>
  <c r="T46" i="14" s="1"/>
  <c r="H57" i="14"/>
  <c r="K57" i="14" s="1"/>
  <c r="O57" i="14" s="1"/>
  <c r="T57" i="14" s="1"/>
  <c r="G57" i="14"/>
  <c r="J57" i="14" s="1"/>
  <c r="I62" i="14"/>
  <c r="L62" i="14" s="1"/>
  <c r="P62" i="14" s="1"/>
  <c r="U62" i="14" s="1"/>
  <c r="H62" i="14"/>
  <c r="K62" i="14" s="1"/>
  <c r="O62" i="14" s="1"/>
  <c r="T62" i="14" s="1"/>
  <c r="G62" i="14"/>
  <c r="J62" i="14" s="1"/>
  <c r="N64" i="14"/>
  <c r="G38" i="14"/>
  <c r="J38" i="14" s="1"/>
  <c r="G42" i="14"/>
  <c r="J42" i="14" s="1"/>
  <c r="M44" i="14"/>
  <c r="G46" i="14"/>
  <c r="J46" i="14" s="1"/>
  <c r="H53" i="14"/>
  <c r="K53" i="14" s="1"/>
  <c r="O53" i="14" s="1"/>
  <c r="T53" i="14" s="1"/>
  <c r="G53" i="14"/>
  <c r="J53" i="14" s="1"/>
  <c r="I58" i="14"/>
  <c r="L58" i="14" s="1"/>
  <c r="P58" i="14" s="1"/>
  <c r="U58" i="14" s="1"/>
  <c r="H58" i="14"/>
  <c r="K58" i="14" s="1"/>
  <c r="O58" i="14" s="1"/>
  <c r="T58" i="14" s="1"/>
  <c r="G37" i="14"/>
  <c r="J37" i="14" s="1"/>
  <c r="H38" i="14"/>
  <c r="K38" i="14" s="1"/>
  <c r="O38" i="14" s="1"/>
  <c r="T38" i="14" s="1"/>
  <c r="G41" i="14"/>
  <c r="J41" i="14" s="1"/>
  <c r="H42" i="14"/>
  <c r="K42" i="14" s="1"/>
  <c r="O42" i="14" s="1"/>
  <c r="T42" i="14" s="1"/>
  <c r="H49" i="14"/>
  <c r="K49" i="14" s="1"/>
  <c r="O49" i="14" s="1"/>
  <c r="T49" i="14" s="1"/>
  <c r="G49" i="14"/>
  <c r="J49" i="14" s="1"/>
  <c r="I53" i="14"/>
  <c r="L53" i="14" s="1"/>
  <c r="P53" i="14" s="1"/>
  <c r="U53" i="14" s="1"/>
  <c r="I54" i="14"/>
  <c r="L54" i="14" s="1"/>
  <c r="P54" i="14" s="1"/>
  <c r="U54" i="14" s="1"/>
  <c r="H54" i="14"/>
  <c r="K54" i="14" s="1"/>
  <c r="O54" i="14" s="1"/>
  <c r="T54" i="14" s="1"/>
  <c r="G58" i="14"/>
  <c r="J58" i="14" s="1"/>
  <c r="I70" i="14"/>
  <c r="L70" i="14" s="1"/>
  <c r="P70" i="14" s="1"/>
  <c r="U70" i="14" s="1"/>
  <c r="H70" i="14"/>
  <c r="K70" i="14" s="1"/>
  <c r="O70" i="14" s="1"/>
  <c r="T70" i="14" s="1"/>
  <c r="G70" i="14"/>
  <c r="J70" i="14" s="1"/>
  <c r="H45" i="14"/>
  <c r="K45" i="14" s="1"/>
  <c r="O45" i="14" s="1"/>
  <c r="T45" i="14" s="1"/>
  <c r="G45" i="14"/>
  <c r="J45" i="14" s="1"/>
  <c r="I50" i="14"/>
  <c r="L50" i="14" s="1"/>
  <c r="P50" i="14" s="1"/>
  <c r="U50" i="14" s="1"/>
  <c r="H50" i="14"/>
  <c r="K50" i="14" s="1"/>
  <c r="O50" i="14" s="1"/>
  <c r="T50" i="14" s="1"/>
  <c r="G54" i="14"/>
  <c r="J54" i="14" s="1"/>
  <c r="N59" i="14"/>
  <c r="I66" i="14"/>
  <c r="L66" i="14" s="1"/>
  <c r="P66" i="14" s="1"/>
  <c r="U66" i="14" s="1"/>
  <c r="H66" i="14"/>
  <c r="K66" i="14" s="1"/>
  <c r="O66" i="14" s="1"/>
  <c r="T66" i="14" s="1"/>
  <c r="G66" i="14"/>
  <c r="J66" i="14" s="1"/>
  <c r="N68" i="14"/>
  <c r="I81" i="14"/>
  <c r="L81" i="14" s="1"/>
  <c r="P81" i="14" s="1"/>
  <c r="U81" i="14" s="1"/>
  <c r="H81" i="14"/>
  <c r="K81" i="14" s="1"/>
  <c r="O81" i="14" s="1"/>
  <c r="T81" i="14" s="1"/>
  <c r="G81" i="14"/>
  <c r="J81" i="14" s="1"/>
  <c r="I77" i="14"/>
  <c r="L77" i="14" s="1"/>
  <c r="P77" i="14" s="1"/>
  <c r="U77" i="14" s="1"/>
  <c r="H77" i="14"/>
  <c r="K77" i="14" s="1"/>
  <c r="O77" i="14" s="1"/>
  <c r="T77" i="14" s="1"/>
  <c r="G77" i="14"/>
  <c r="J77" i="14" s="1"/>
  <c r="N79" i="14"/>
  <c r="I85" i="14"/>
  <c r="L85" i="14" s="1"/>
  <c r="P85" i="14" s="1"/>
  <c r="U85" i="14" s="1"/>
  <c r="H85" i="14"/>
  <c r="K85" i="14" s="1"/>
  <c r="O85" i="14" s="1"/>
  <c r="T85" i="14" s="1"/>
  <c r="G85" i="14"/>
  <c r="J85" i="14" s="1"/>
  <c r="I93" i="14"/>
  <c r="L93" i="14" s="1"/>
  <c r="P93" i="14" s="1"/>
  <c r="U93" i="14" s="1"/>
  <c r="H93" i="14"/>
  <c r="K93" i="14" s="1"/>
  <c r="O93" i="14" s="1"/>
  <c r="T93" i="14" s="1"/>
  <c r="G93" i="14"/>
  <c r="J93" i="14" s="1"/>
  <c r="G61" i="14"/>
  <c r="J61" i="14" s="1"/>
  <c r="G65" i="14"/>
  <c r="J65" i="14" s="1"/>
  <c r="G69" i="14"/>
  <c r="J69" i="14" s="1"/>
  <c r="G73" i="14"/>
  <c r="J73" i="14" s="1"/>
  <c r="N83" i="14"/>
  <c r="I89" i="14"/>
  <c r="L89" i="14" s="1"/>
  <c r="P89" i="14" s="1"/>
  <c r="U89" i="14" s="1"/>
  <c r="H89" i="14"/>
  <c r="K89" i="14" s="1"/>
  <c r="O89" i="14" s="1"/>
  <c r="T89" i="14" s="1"/>
  <c r="G89" i="14"/>
  <c r="J89" i="14" s="1"/>
  <c r="N95" i="14"/>
  <c r="I99" i="14"/>
  <c r="L99" i="14" s="1"/>
  <c r="P99" i="14" s="1"/>
  <c r="U99" i="14" s="1"/>
  <c r="H99" i="14"/>
  <c r="K99" i="14" s="1"/>
  <c r="O99" i="14" s="1"/>
  <c r="T99" i="14" s="1"/>
  <c r="G99" i="14"/>
  <c r="J99" i="14" s="1"/>
  <c r="G76" i="14"/>
  <c r="J76" i="14" s="1"/>
  <c r="G80" i="14"/>
  <c r="J80" i="14" s="1"/>
  <c r="G84" i="14"/>
  <c r="J84" i="14" s="1"/>
  <c r="G88" i="14"/>
  <c r="J88" i="14" s="1"/>
  <c r="G92" i="14"/>
  <c r="J92" i="14" s="1"/>
  <c r="I95" i="14"/>
  <c r="L95" i="14" s="1"/>
  <c r="P95" i="14" s="1"/>
  <c r="U95" i="14" s="1"/>
  <c r="H95" i="14"/>
  <c r="K95" i="14" s="1"/>
  <c r="O95" i="14" s="1"/>
  <c r="T95" i="14" s="1"/>
  <c r="N97" i="14"/>
  <c r="M97" i="14"/>
  <c r="N101" i="14"/>
  <c r="I117" i="14"/>
  <c r="L117" i="14" s="1"/>
  <c r="P117" i="14" s="1"/>
  <c r="U117" i="14" s="1"/>
  <c r="H117" i="14"/>
  <c r="K117" i="14" s="1"/>
  <c r="O117" i="14" s="1"/>
  <c r="T117" i="14" s="1"/>
  <c r="G117" i="14"/>
  <c r="J117" i="14" s="1"/>
  <c r="N123" i="14"/>
  <c r="G103" i="14"/>
  <c r="J103" i="14" s="1"/>
  <c r="G107" i="14"/>
  <c r="J107" i="14" s="1"/>
  <c r="G109" i="14"/>
  <c r="J109" i="14" s="1"/>
  <c r="G111" i="14"/>
  <c r="J111" i="14" s="1"/>
  <c r="I115" i="14"/>
  <c r="L115" i="14" s="1"/>
  <c r="P115" i="14" s="1"/>
  <c r="U115" i="14" s="1"/>
  <c r="H115" i="14"/>
  <c r="K115" i="14" s="1"/>
  <c r="O115" i="14" s="1"/>
  <c r="T115" i="14" s="1"/>
  <c r="G115" i="14"/>
  <c r="J115" i="14" s="1"/>
  <c r="N127" i="14"/>
  <c r="G98" i="14"/>
  <c r="J98" i="14" s="1"/>
  <c r="G102" i="14"/>
  <c r="J102" i="14" s="1"/>
  <c r="H103" i="14"/>
  <c r="K103" i="14" s="1"/>
  <c r="O103" i="14" s="1"/>
  <c r="T103" i="14" s="1"/>
  <c r="G106" i="14"/>
  <c r="J106" i="14" s="1"/>
  <c r="H107" i="14"/>
  <c r="K107" i="14" s="1"/>
  <c r="O107" i="14" s="1"/>
  <c r="T107" i="14" s="1"/>
  <c r="H109" i="14"/>
  <c r="K109" i="14" s="1"/>
  <c r="O109" i="14" s="1"/>
  <c r="T109" i="14" s="1"/>
  <c r="I111" i="14"/>
  <c r="L111" i="14" s="1"/>
  <c r="P111" i="14" s="1"/>
  <c r="U111" i="14" s="1"/>
  <c r="I113" i="14"/>
  <c r="L113" i="14" s="1"/>
  <c r="P113" i="14" s="1"/>
  <c r="U113" i="14" s="1"/>
  <c r="H113" i="14"/>
  <c r="K113" i="14" s="1"/>
  <c r="O113" i="14" s="1"/>
  <c r="T113" i="14" s="1"/>
  <c r="G113" i="14"/>
  <c r="J113" i="14" s="1"/>
  <c r="N120" i="14"/>
  <c r="N122" i="14"/>
  <c r="N114" i="14"/>
  <c r="M114" i="14"/>
  <c r="R114" i="14" s="1"/>
  <c r="I119" i="14"/>
  <c r="L119" i="14" s="1"/>
  <c r="P119" i="14" s="1"/>
  <c r="U119" i="14" s="1"/>
  <c r="H119" i="14"/>
  <c r="K119" i="14" s="1"/>
  <c r="O119" i="14" s="1"/>
  <c r="T119" i="14" s="1"/>
  <c r="G119" i="14"/>
  <c r="J119" i="14" s="1"/>
  <c r="G121" i="14"/>
  <c r="J121" i="14" s="1"/>
  <c r="G125" i="14"/>
  <c r="J125" i="14" s="1"/>
  <c r="H121" i="14"/>
  <c r="K121" i="14" s="1"/>
  <c r="O121" i="14" s="1"/>
  <c r="T121" i="14" s="1"/>
  <c r="G124" i="14"/>
  <c r="J124" i="14" s="1"/>
  <c r="H125" i="14"/>
  <c r="K125" i="14" s="1"/>
  <c r="O125" i="14" s="1"/>
  <c r="T125" i="14" s="1"/>
  <c r="G128" i="14"/>
  <c r="J128" i="14" s="1"/>
  <c r="H41" i="4" l="1"/>
  <c r="H253" i="10"/>
  <c r="I51" i="9"/>
  <c r="H160" i="9"/>
  <c r="H44" i="9"/>
  <c r="H85" i="4"/>
  <c r="H16" i="9"/>
  <c r="H45" i="5"/>
  <c r="I24" i="1"/>
  <c r="H31" i="19"/>
  <c r="H16" i="2"/>
  <c r="I128" i="9"/>
  <c r="I45" i="6"/>
  <c r="I80" i="1"/>
  <c r="H100" i="10"/>
  <c r="I100" i="3"/>
  <c r="I77" i="6"/>
  <c r="H86" i="10"/>
  <c r="H30" i="4"/>
  <c r="H59" i="19"/>
  <c r="H30" i="2"/>
  <c r="I317" i="5"/>
  <c r="I45" i="19"/>
  <c r="I108" i="1"/>
  <c r="I17" i="6"/>
  <c r="H24" i="1"/>
  <c r="H17" i="5"/>
  <c r="N86" i="14"/>
  <c r="Q86" i="14" s="1"/>
  <c r="H52" i="5"/>
  <c r="I65" i="2"/>
  <c r="H97" i="2"/>
  <c r="H51" i="10"/>
  <c r="H62" i="9"/>
  <c r="H171" i="9" s="1"/>
  <c r="D11" i="27" s="1"/>
  <c r="H126" i="4"/>
  <c r="I24" i="6"/>
  <c r="H118" i="10"/>
  <c r="H23" i="4"/>
  <c r="H58" i="10"/>
  <c r="H58" i="2"/>
  <c r="H100" i="4"/>
  <c r="M87" i="14"/>
  <c r="H23" i="9"/>
  <c r="I85" i="4"/>
  <c r="I86" i="10"/>
  <c r="H185" i="19"/>
  <c r="I232" i="10"/>
  <c r="I118" i="1"/>
  <c r="H206" i="10"/>
  <c r="H128" i="9"/>
  <c r="I148" i="6"/>
  <c r="I37" i="2"/>
  <c r="I192" i="8"/>
  <c r="H209" i="2"/>
  <c r="H183" i="2"/>
  <c r="H31" i="5"/>
  <c r="I73" i="8"/>
  <c r="H87" i="5"/>
  <c r="H107" i="9"/>
  <c r="H79" i="2"/>
  <c r="I109" i="6"/>
  <c r="I101" i="1"/>
  <c r="I107" i="9"/>
  <c r="I183" i="2"/>
  <c r="I147" i="9"/>
  <c r="I126" i="4"/>
  <c r="I152" i="2"/>
  <c r="I107" i="10"/>
  <c r="I16" i="9"/>
  <c r="I23" i="2"/>
  <c r="I44" i="9"/>
  <c r="I58" i="10"/>
  <c r="I97" i="2"/>
  <c r="H51" i="2"/>
  <c r="I17" i="5"/>
  <c r="I52" i="8"/>
  <c r="I185" i="19"/>
  <c r="I116" i="4"/>
  <c r="H77" i="6"/>
  <c r="H116" i="4"/>
  <c r="H72" i="2"/>
  <c r="H86" i="2"/>
  <c r="I66" i="19"/>
  <c r="I149" i="19"/>
  <c r="H31" i="6"/>
  <c r="I101" i="5"/>
  <c r="I73" i="5"/>
  <c r="I154" i="5"/>
  <c r="I17" i="8"/>
  <c r="I86" i="2"/>
  <c r="I30" i="2"/>
  <c r="I37" i="9"/>
  <c r="I169" i="8"/>
  <c r="K152" i="2"/>
  <c r="I227" i="2"/>
  <c r="I209" i="8"/>
  <c r="I100" i="4"/>
  <c r="I41" i="4"/>
  <c r="I169" i="10"/>
  <c r="I79" i="2"/>
  <c r="H66" i="19"/>
  <c r="I188" i="10"/>
  <c r="I209" i="2"/>
  <c r="H147" i="9"/>
  <c r="H65" i="2"/>
  <c r="I124" i="19"/>
  <c r="I137" i="19"/>
  <c r="H59" i="5"/>
  <c r="I192" i="1"/>
  <c r="I66" i="8"/>
  <c r="I16" i="2"/>
  <c r="I118" i="10"/>
  <c r="I30" i="4"/>
  <c r="I206" i="10"/>
  <c r="I80" i="8"/>
  <c r="I253" i="10"/>
  <c r="I93" i="10"/>
  <c r="I38" i="6"/>
  <c r="I258" i="1"/>
  <c r="H31" i="1"/>
  <c r="I236" i="5"/>
  <c r="I118" i="9"/>
  <c r="I140" i="8"/>
  <c r="I72" i="2"/>
  <c r="I100" i="10"/>
  <c r="H227" i="2"/>
  <c r="H37" i="2"/>
  <c r="H154" i="5"/>
  <c r="H259" i="5"/>
  <c r="H38" i="5"/>
  <c r="I87" i="1"/>
  <c r="I59" i="1"/>
  <c r="I171" i="1"/>
  <c r="I94" i="1"/>
  <c r="I66" i="1"/>
  <c r="I38" i="1"/>
  <c r="I58" i="2"/>
  <c r="I23" i="9"/>
  <c r="I55" i="6"/>
  <c r="I93" i="4"/>
  <c r="I160" i="9"/>
  <c r="I23" i="4"/>
  <c r="I170" i="19"/>
  <c r="I30" i="9"/>
  <c r="I155" i="8"/>
  <c r="I16" i="4"/>
  <c r="I99" i="6"/>
  <c r="H168" i="2"/>
  <c r="H232" i="10"/>
  <c r="H124" i="19"/>
  <c r="H44" i="2"/>
  <c r="H38" i="19"/>
  <c r="H77" i="19"/>
  <c r="I136" i="6"/>
  <c r="I212" i="5"/>
  <c r="I259" i="5"/>
  <c r="I73" i="1"/>
  <c r="I211" i="1"/>
  <c r="H24" i="3"/>
  <c r="I51" i="2"/>
  <c r="I62" i="9"/>
  <c r="I91" i="8"/>
  <c r="I168" i="2"/>
  <c r="I31" i="8"/>
  <c r="I38" i="8"/>
  <c r="I24" i="8"/>
  <c r="I59" i="8"/>
  <c r="I45" i="8"/>
  <c r="H77" i="3"/>
  <c r="I77" i="3"/>
  <c r="I24" i="3"/>
  <c r="I149" i="3"/>
  <c r="H100" i="3"/>
  <c r="H45" i="3"/>
  <c r="I38" i="3"/>
  <c r="H31" i="3"/>
  <c r="I31" i="3"/>
  <c r="I137" i="3"/>
  <c r="I125" i="3"/>
  <c r="H17" i="3"/>
  <c r="H38" i="3"/>
  <c r="I185" i="3"/>
  <c r="H125" i="3"/>
  <c r="H149" i="3"/>
  <c r="H66" i="3"/>
  <c r="H59" i="3"/>
  <c r="I170" i="3"/>
  <c r="I66" i="3"/>
  <c r="H185" i="3"/>
  <c r="G195" i="3"/>
  <c r="G196" i="3" s="1"/>
  <c r="I45" i="3"/>
  <c r="I17" i="3"/>
  <c r="I59" i="3"/>
  <c r="I52" i="3"/>
  <c r="I52" i="1"/>
  <c r="H94" i="1"/>
  <c r="I31" i="1"/>
  <c r="I45" i="1"/>
  <c r="H80" i="1"/>
  <c r="H66" i="1"/>
  <c r="H45" i="1"/>
  <c r="H193" i="1"/>
  <c r="H52" i="1"/>
  <c r="H59" i="1"/>
  <c r="H38" i="1"/>
  <c r="H211" i="1"/>
  <c r="H73" i="5"/>
  <c r="H80" i="5"/>
  <c r="I87" i="5"/>
  <c r="I59" i="5"/>
  <c r="I38" i="5"/>
  <c r="I31" i="5"/>
  <c r="H66" i="5"/>
  <c r="H236" i="5"/>
  <c r="H288" i="5"/>
  <c r="H291" i="5" s="1"/>
  <c r="I288" i="5"/>
  <c r="I291" i="5" s="1"/>
  <c r="K288" i="5"/>
  <c r="I94" i="5"/>
  <c r="I80" i="5"/>
  <c r="I66" i="5"/>
  <c r="H317" i="5"/>
  <c r="H94" i="5"/>
  <c r="G291" i="5"/>
  <c r="H101" i="5"/>
  <c r="I52" i="5"/>
  <c r="I45" i="5"/>
  <c r="I24" i="5"/>
  <c r="I115" i="5"/>
  <c r="H17" i="6"/>
  <c r="H45" i="6"/>
  <c r="H148" i="6"/>
  <c r="H38" i="6"/>
  <c r="H118" i="6"/>
  <c r="H55" i="6"/>
  <c r="H24" i="6"/>
  <c r="H136" i="6"/>
  <c r="H109" i="6"/>
  <c r="H99" i="6"/>
  <c r="H155" i="8"/>
  <c r="H80" i="8"/>
  <c r="H45" i="8"/>
  <c r="H31" i="8"/>
  <c r="H17" i="8"/>
  <c r="H192" i="8"/>
  <c r="H59" i="8"/>
  <c r="H73" i="8"/>
  <c r="H140" i="8"/>
  <c r="H169" i="8"/>
  <c r="H66" i="8"/>
  <c r="H24" i="8"/>
  <c r="H52" i="8"/>
  <c r="H209" i="8"/>
  <c r="I17" i="19"/>
  <c r="I52" i="19"/>
  <c r="I77" i="19"/>
  <c r="H137" i="19"/>
  <c r="I38" i="19"/>
  <c r="H17" i="19"/>
  <c r="H24" i="19"/>
  <c r="H45" i="19"/>
  <c r="I59" i="19"/>
  <c r="H52" i="19"/>
  <c r="I31" i="19"/>
  <c r="I24" i="19"/>
  <c r="G159" i="6"/>
  <c r="C8" i="27" s="1"/>
  <c r="G328" i="5"/>
  <c r="C7" i="27" s="1"/>
  <c r="H87" i="1"/>
  <c r="G220" i="8"/>
  <c r="C10" i="27" s="1"/>
  <c r="G238" i="2"/>
  <c r="C4" i="27" s="1"/>
  <c r="G171" i="9"/>
  <c r="C11" i="27" s="1"/>
  <c r="H327" i="5"/>
  <c r="G196" i="19"/>
  <c r="C5" i="19" s="1"/>
  <c r="H17" i="1"/>
  <c r="H108" i="1"/>
  <c r="H118" i="1"/>
  <c r="H174" i="1"/>
  <c r="H101" i="1"/>
  <c r="H73" i="1"/>
  <c r="H212" i="5"/>
  <c r="H158" i="6"/>
  <c r="G268" i="10"/>
  <c r="C12" i="27" s="1"/>
  <c r="N105" i="14"/>
  <c r="S105" i="14" s="1"/>
  <c r="W105" i="14" s="1"/>
  <c r="X105" i="14" s="1"/>
  <c r="Y105" i="14" s="1"/>
  <c r="G137" i="4"/>
  <c r="C6" i="27" s="1"/>
  <c r="H136" i="4"/>
  <c r="H152" i="2"/>
  <c r="H169" i="10"/>
  <c r="H52" i="3"/>
  <c r="H258" i="1"/>
  <c r="H170" i="3"/>
  <c r="M74" i="14"/>
  <c r="AE74" i="14" s="1"/>
  <c r="M79" i="14"/>
  <c r="R79" i="14" s="1"/>
  <c r="Q52" i="14"/>
  <c r="N78" i="14"/>
  <c r="Q78" i="14" s="1"/>
  <c r="M55" i="14"/>
  <c r="AE55" i="14" s="1"/>
  <c r="M101" i="14"/>
  <c r="R101" i="14" s="1"/>
  <c r="M67" i="14"/>
  <c r="R67" i="14" s="1"/>
  <c r="M91" i="14"/>
  <c r="R91" i="14" s="1"/>
  <c r="M96" i="14"/>
  <c r="R96" i="14" s="1"/>
  <c r="M52" i="14"/>
  <c r="R52" i="14" s="1"/>
  <c r="N67" i="14"/>
  <c r="S67" i="14" s="1"/>
  <c r="W67" i="14" s="1"/>
  <c r="X67" i="14" s="1"/>
  <c r="Y67" i="14" s="1"/>
  <c r="N13" i="14"/>
  <c r="S13" i="14" s="1"/>
  <c r="W13" i="14" s="1"/>
  <c r="X13" i="14" s="1"/>
  <c r="Y13" i="14" s="1"/>
  <c r="M120" i="14"/>
  <c r="R120" i="14" s="1"/>
  <c r="M110" i="14"/>
  <c r="R110" i="14" s="1"/>
  <c r="M43" i="14"/>
  <c r="AE43" i="14" s="1"/>
  <c r="M39" i="14"/>
  <c r="AE39" i="14" s="1"/>
  <c r="M40" i="14"/>
  <c r="R40" i="14" s="1"/>
  <c r="M122" i="14"/>
  <c r="R122" i="14" s="1"/>
  <c r="M108" i="14"/>
  <c r="R108" i="14" s="1"/>
  <c r="Q19" i="14"/>
  <c r="M118" i="14"/>
  <c r="R118" i="14" s="1"/>
  <c r="N91" i="14"/>
  <c r="S91" i="14" s="1"/>
  <c r="W91" i="14" s="1"/>
  <c r="X91" i="14" s="1"/>
  <c r="Y91" i="14" s="1"/>
  <c r="M59" i="14"/>
  <c r="R59" i="14" s="1"/>
  <c r="Q44" i="14"/>
  <c r="M112" i="14"/>
  <c r="R112" i="14" s="1"/>
  <c r="M123" i="14"/>
  <c r="R123" i="14" s="1"/>
  <c r="Q48" i="14"/>
  <c r="Q60" i="14"/>
  <c r="M60" i="14"/>
  <c r="AE60" i="14" s="1"/>
  <c r="M48" i="14"/>
  <c r="AE48" i="14" s="1"/>
  <c r="M22" i="14"/>
  <c r="AE22" i="14" s="1"/>
  <c r="M16" i="14"/>
  <c r="AE16" i="14" s="1"/>
  <c r="M14" i="14"/>
  <c r="R14" i="14" s="1"/>
  <c r="Q22" i="14"/>
  <c r="Q75" i="14"/>
  <c r="Q20" i="14"/>
  <c r="M35" i="14"/>
  <c r="Q18" i="14"/>
  <c r="M75" i="14"/>
  <c r="AE75" i="14" s="1"/>
  <c r="Q32" i="14"/>
  <c r="M71" i="14"/>
  <c r="R71" i="14" s="1"/>
  <c r="M104" i="14"/>
  <c r="R104" i="14" s="1"/>
  <c r="M63" i="14"/>
  <c r="AE63" i="14" s="1"/>
  <c r="M23" i="14"/>
  <c r="AE23" i="14" s="1"/>
  <c r="M83" i="14"/>
  <c r="R83" i="14" s="1"/>
  <c r="N63" i="14"/>
  <c r="Q63" i="14" s="1"/>
  <c r="M19" i="14"/>
  <c r="AE19" i="14" s="1"/>
  <c r="M64" i="14"/>
  <c r="AE64" i="14" s="1"/>
  <c r="Q23" i="14"/>
  <c r="M15" i="14"/>
  <c r="R15" i="14" s="1"/>
  <c r="M32" i="14"/>
  <c r="AE32" i="14" s="1"/>
  <c r="M27" i="14"/>
  <c r="R27" i="14" s="1"/>
  <c r="M100" i="14"/>
  <c r="R100" i="14" s="1"/>
  <c r="M47" i="14"/>
  <c r="AE47" i="14" s="1"/>
  <c r="M72" i="14"/>
  <c r="AE72" i="14" s="1"/>
  <c r="M116" i="14"/>
  <c r="R116" i="14" s="1"/>
  <c r="M18" i="14"/>
  <c r="AE18" i="14" s="1"/>
  <c r="Q56" i="14"/>
  <c r="M28" i="14"/>
  <c r="AE28" i="14" s="1"/>
  <c r="N27" i="14"/>
  <c r="Q27" i="14" s="1"/>
  <c r="M126" i="14"/>
  <c r="R126" i="14" s="1"/>
  <c r="Q94" i="14"/>
  <c r="N100" i="14"/>
  <c r="Q100" i="14" s="1"/>
  <c r="M31" i="14"/>
  <c r="R31" i="14" s="1"/>
  <c r="M94" i="14"/>
  <c r="M127" i="14"/>
  <c r="R127" i="14" s="1"/>
  <c r="M56" i="14"/>
  <c r="R56" i="14" s="1"/>
  <c r="M51" i="14"/>
  <c r="R51" i="14" s="1"/>
  <c r="M24" i="14"/>
  <c r="R24" i="14" s="1"/>
  <c r="Q24" i="14"/>
  <c r="M95" i="14"/>
  <c r="AE95" i="14" s="1"/>
  <c r="M68" i="14"/>
  <c r="AE68" i="14" s="1"/>
  <c r="Q28" i="14"/>
  <c r="Q21" i="14"/>
  <c r="M82" i="14"/>
  <c r="AE82" i="14" s="1"/>
  <c r="M21" i="14"/>
  <c r="AE21" i="14" s="1"/>
  <c r="M90" i="14"/>
  <c r="R90" i="14" s="1"/>
  <c r="M36" i="14"/>
  <c r="AE36" i="14" s="1"/>
  <c r="S17" i="16"/>
  <c r="T17" i="16" s="1"/>
  <c r="T5" i="16"/>
  <c r="N102" i="14"/>
  <c r="M102" i="14"/>
  <c r="M115" i="14"/>
  <c r="R115" i="14" s="1"/>
  <c r="N115" i="14"/>
  <c r="M109" i="14"/>
  <c r="R109" i="14" s="1"/>
  <c r="N109" i="14"/>
  <c r="S123" i="14"/>
  <c r="W123" i="14" s="1"/>
  <c r="X123" i="14" s="1"/>
  <c r="Y123" i="14" s="1"/>
  <c r="Q123" i="14"/>
  <c r="R105" i="14"/>
  <c r="AE105" i="14"/>
  <c r="R97" i="14"/>
  <c r="AE97" i="14"/>
  <c r="N92" i="14"/>
  <c r="M92" i="14"/>
  <c r="N76" i="14"/>
  <c r="M76" i="14"/>
  <c r="Q95" i="14"/>
  <c r="S95" i="14"/>
  <c r="W95" i="14" s="1"/>
  <c r="X95" i="14" s="1"/>
  <c r="Y95" i="14" s="1"/>
  <c r="S83" i="14"/>
  <c r="W83" i="14" s="1"/>
  <c r="X83" i="14" s="1"/>
  <c r="Y83" i="14" s="1"/>
  <c r="Q83" i="14"/>
  <c r="N65" i="14"/>
  <c r="M65" i="14"/>
  <c r="M93" i="14"/>
  <c r="N93" i="14"/>
  <c r="S108" i="14"/>
  <c r="W108" i="14" s="1"/>
  <c r="X108" i="14" s="1"/>
  <c r="Y108" i="14" s="1"/>
  <c r="Q108" i="14"/>
  <c r="Q90" i="14"/>
  <c r="S90" i="14"/>
  <c r="W90" i="14" s="1"/>
  <c r="X90" i="14" s="1"/>
  <c r="Y90" i="14" s="1"/>
  <c r="Q71" i="14"/>
  <c r="S71" i="14"/>
  <c r="W71" i="14" s="1"/>
  <c r="X71" i="14" s="1"/>
  <c r="Y71" i="14" s="1"/>
  <c r="Q59" i="14"/>
  <c r="S59" i="14"/>
  <c r="W59" i="14" s="1"/>
  <c r="X59" i="14" s="1"/>
  <c r="Y59" i="14" s="1"/>
  <c r="M70" i="14"/>
  <c r="N70" i="14"/>
  <c r="N49" i="14"/>
  <c r="M49" i="14"/>
  <c r="Q47" i="14"/>
  <c r="S47" i="14"/>
  <c r="W47" i="14" s="1"/>
  <c r="X47" i="14" s="1"/>
  <c r="Y47" i="14" s="1"/>
  <c r="N37" i="14"/>
  <c r="M37" i="14"/>
  <c r="R44" i="14"/>
  <c r="AE44" i="14"/>
  <c r="N29" i="14"/>
  <c r="M29" i="14"/>
  <c r="Q31" i="14"/>
  <c r="S31" i="14"/>
  <c r="W31" i="14" s="1"/>
  <c r="X31" i="14" s="1"/>
  <c r="Y31" i="14" s="1"/>
  <c r="Q39" i="14"/>
  <c r="S39" i="14"/>
  <c r="W39" i="14" s="1"/>
  <c r="X39" i="14" s="1"/>
  <c r="Y39" i="14" s="1"/>
  <c r="S40" i="14"/>
  <c r="W40" i="14" s="1"/>
  <c r="X40" i="14" s="1"/>
  <c r="Y40" i="14" s="1"/>
  <c r="Q40" i="14"/>
  <c r="Q35" i="14"/>
  <c r="S35" i="14"/>
  <c r="W35" i="14" s="1"/>
  <c r="X35" i="14" s="1"/>
  <c r="Y35" i="14" s="1"/>
  <c r="K129" i="14"/>
  <c r="AE13" i="14"/>
  <c r="R13" i="14"/>
  <c r="AE14" i="14"/>
  <c r="N128" i="14"/>
  <c r="M128" i="14"/>
  <c r="M125" i="14"/>
  <c r="N125" i="14"/>
  <c r="Q122" i="14"/>
  <c r="S122" i="14"/>
  <c r="W122" i="14" s="1"/>
  <c r="X122" i="14" s="1"/>
  <c r="Y122" i="14" s="1"/>
  <c r="S116" i="14"/>
  <c r="W116" i="14" s="1"/>
  <c r="X116" i="14" s="1"/>
  <c r="Y116" i="14" s="1"/>
  <c r="Q116" i="14"/>
  <c r="N98" i="14"/>
  <c r="M98" i="14"/>
  <c r="Q126" i="14"/>
  <c r="S126" i="14"/>
  <c r="W126" i="14" s="1"/>
  <c r="X126" i="14" s="1"/>
  <c r="Y126" i="14" s="1"/>
  <c r="M107" i="14"/>
  <c r="R107" i="14" s="1"/>
  <c r="N107" i="14"/>
  <c r="M117" i="14"/>
  <c r="R117" i="14" s="1"/>
  <c r="N117" i="14"/>
  <c r="S97" i="14"/>
  <c r="W97" i="14" s="1"/>
  <c r="X97" i="14" s="1"/>
  <c r="Y97" i="14" s="1"/>
  <c r="Q97" i="14"/>
  <c r="N88" i="14"/>
  <c r="M88" i="14"/>
  <c r="M99" i="14"/>
  <c r="N99" i="14"/>
  <c r="R86" i="14"/>
  <c r="AE86" i="14"/>
  <c r="R78" i="14"/>
  <c r="AE78" i="14"/>
  <c r="Q74" i="14"/>
  <c r="S74" i="14"/>
  <c r="W74" i="14" s="1"/>
  <c r="X74" i="14" s="1"/>
  <c r="Y74" i="14" s="1"/>
  <c r="N61" i="14"/>
  <c r="M61" i="14"/>
  <c r="S79" i="14"/>
  <c r="W79" i="14" s="1"/>
  <c r="X79" i="14" s="1"/>
  <c r="Y79" i="14" s="1"/>
  <c r="Q79" i="14"/>
  <c r="R87" i="14"/>
  <c r="AE87" i="14"/>
  <c r="M54" i="14"/>
  <c r="N54" i="14"/>
  <c r="N45" i="14"/>
  <c r="M45" i="14"/>
  <c r="Q43" i="14"/>
  <c r="S43" i="14"/>
  <c r="W43" i="14" s="1"/>
  <c r="X43" i="14" s="1"/>
  <c r="Y43" i="14" s="1"/>
  <c r="M42" i="14"/>
  <c r="N42" i="14"/>
  <c r="Q55" i="14"/>
  <c r="S55" i="14"/>
  <c r="W55" i="14" s="1"/>
  <c r="X55" i="14" s="1"/>
  <c r="Y55" i="14" s="1"/>
  <c r="Q50" i="14"/>
  <c r="S50" i="14"/>
  <c r="W50" i="14" s="1"/>
  <c r="X50" i="14" s="1"/>
  <c r="Y50" i="14" s="1"/>
  <c r="H129" i="14"/>
  <c r="Q26" i="14"/>
  <c r="S26" i="14"/>
  <c r="W26" i="14" s="1"/>
  <c r="X26" i="14" s="1"/>
  <c r="Y26" i="14" s="1"/>
  <c r="Q34" i="14"/>
  <c r="S34" i="14"/>
  <c r="W34" i="14" s="1"/>
  <c r="X34" i="14" s="1"/>
  <c r="Y34" i="14" s="1"/>
  <c r="M30" i="14"/>
  <c r="N30" i="14"/>
  <c r="M34" i="14"/>
  <c r="G129" i="14"/>
  <c r="Q14" i="14"/>
  <c r="S14" i="14"/>
  <c r="W14" i="14" s="1"/>
  <c r="X14" i="14" s="1"/>
  <c r="Y14" i="14" s="1"/>
  <c r="M121" i="14"/>
  <c r="N121" i="14"/>
  <c r="M113" i="14"/>
  <c r="R113" i="14" s="1"/>
  <c r="N113" i="14"/>
  <c r="S112" i="14"/>
  <c r="W112" i="14" s="1"/>
  <c r="X112" i="14" s="1"/>
  <c r="Y112" i="14" s="1"/>
  <c r="Q112" i="14"/>
  <c r="N106" i="14"/>
  <c r="M106" i="14"/>
  <c r="M103" i="14"/>
  <c r="N103" i="14"/>
  <c r="N84" i="14"/>
  <c r="M84" i="14"/>
  <c r="M89" i="14"/>
  <c r="N89" i="14"/>
  <c r="N73" i="14"/>
  <c r="M73" i="14"/>
  <c r="M77" i="14"/>
  <c r="N77" i="14"/>
  <c r="S110" i="14"/>
  <c r="W110" i="14" s="1"/>
  <c r="X110" i="14" s="1"/>
  <c r="Y110" i="14" s="1"/>
  <c r="Q110" i="14"/>
  <c r="Q104" i="14"/>
  <c r="S104" i="14"/>
  <c r="W104" i="14" s="1"/>
  <c r="X104" i="14" s="1"/>
  <c r="Y104" i="14" s="1"/>
  <c r="S87" i="14"/>
  <c r="W87" i="14" s="1"/>
  <c r="X87" i="14" s="1"/>
  <c r="Y87" i="14" s="1"/>
  <c r="Q87" i="14"/>
  <c r="S68" i="14"/>
  <c r="W68" i="14" s="1"/>
  <c r="X68" i="14" s="1"/>
  <c r="Y68" i="14" s="1"/>
  <c r="Q68" i="14"/>
  <c r="N41" i="14"/>
  <c r="M41" i="14"/>
  <c r="N53" i="14"/>
  <c r="M53" i="14"/>
  <c r="Q51" i="14"/>
  <c r="S51" i="14"/>
  <c r="W51" i="14" s="1"/>
  <c r="X51" i="14" s="1"/>
  <c r="Y51" i="14" s="1"/>
  <c r="M38" i="14"/>
  <c r="N38" i="14"/>
  <c r="S64" i="14"/>
  <c r="W64" i="14" s="1"/>
  <c r="X64" i="14" s="1"/>
  <c r="Y64" i="14" s="1"/>
  <c r="Q64" i="14"/>
  <c r="M57" i="14"/>
  <c r="N57" i="14"/>
  <c r="M50" i="14"/>
  <c r="N33" i="14"/>
  <c r="M33" i="14"/>
  <c r="S36" i="14"/>
  <c r="W36" i="14" s="1"/>
  <c r="X36" i="14" s="1"/>
  <c r="Y36" i="14" s="1"/>
  <c r="Q36" i="14"/>
  <c r="M26" i="14"/>
  <c r="M17" i="14"/>
  <c r="L129" i="14"/>
  <c r="P12" i="14"/>
  <c r="N124" i="14"/>
  <c r="M124" i="14"/>
  <c r="M119" i="14"/>
  <c r="R119" i="14" s="1"/>
  <c r="N119" i="14"/>
  <c r="S114" i="14"/>
  <c r="W114" i="14" s="1"/>
  <c r="X114" i="14" s="1"/>
  <c r="Y114" i="14" s="1"/>
  <c r="Q114" i="14"/>
  <c r="S120" i="14"/>
  <c r="W120" i="14" s="1"/>
  <c r="X120" i="14" s="1"/>
  <c r="Y120" i="14" s="1"/>
  <c r="Q120" i="14"/>
  <c r="S127" i="14"/>
  <c r="W127" i="14" s="1"/>
  <c r="X127" i="14" s="1"/>
  <c r="Y127" i="14" s="1"/>
  <c r="Q127" i="14"/>
  <c r="S118" i="14"/>
  <c r="W118" i="14" s="1"/>
  <c r="X118" i="14" s="1"/>
  <c r="Y118" i="14" s="1"/>
  <c r="Q118" i="14"/>
  <c r="N111" i="14"/>
  <c r="M111" i="14"/>
  <c r="R111" i="14" s="1"/>
  <c r="S101" i="14"/>
  <c r="W101" i="14" s="1"/>
  <c r="X101" i="14" s="1"/>
  <c r="Y101" i="14" s="1"/>
  <c r="Q101" i="14"/>
  <c r="N80" i="14"/>
  <c r="M80" i="14"/>
  <c r="N69" i="14"/>
  <c r="M69" i="14"/>
  <c r="Q96" i="14"/>
  <c r="S96" i="14"/>
  <c r="W96" i="14" s="1"/>
  <c r="X96" i="14" s="1"/>
  <c r="Y96" i="14" s="1"/>
  <c r="M85" i="14"/>
  <c r="N85" i="14"/>
  <c r="Q82" i="14"/>
  <c r="S82" i="14"/>
  <c r="W82" i="14" s="1"/>
  <c r="X82" i="14" s="1"/>
  <c r="Y82" i="14" s="1"/>
  <c r="M81" i="14"/>
  <c r="N81" i="14"/>
  <c r="M66" i="14"/>
  <c r="N66" i="14"/>
  <c r="S72" i="14"/>
  <c r="W72" i="14" s="1"/>
  <c r="X72" i="14" s="1"/>
  <c r="Y72" i="14" s="1"/>
  <c r="Q72" i="14"/>
  <c r="M58" i="14"/>
  <c r="N58" i="14"/>
  <c r="M46" i="14"/>
  <c r="N46" i="14"/>
  <c r="M62" i="14"/>
  <c r="N62" i="14"/>
  <c r="AE20" i="14"/>
  <c r="R20" i="14"/>
  <c r="J129" i="14"/>
  <c r="N12" i="14"/>
  <c r="M12" i="14"/>
  <c r="N25" i="14"/>
  <c r="M25" i="14"/>
  <c r="R35" i="14"/>
  <c r="AE35" i="14"/>
  <c r="O129" i="14"/>
  <c r="T12" i="14"/>
  <c r="S16" i="14"/>
  <c r="W16" i="14" s="1"/>
  <c r="X16" i="14" s="1"/>
  <c r="Y16" i="14" s="1"/>
  <c r="Q16" i="14"/>
  <c r="S17" i="14"/>
  <c r="W17" i="14" s="1"/>
  <c r="X17" i="14" s="1"/>
  <c r="Y17" i="14" s="1"/>
  <c r="Q17" i="14"/>
  <c r="I129" i="14"/>
  <c r="Q15" i="14"/>
  <c r="S15" i="14"/>
  <c r="W15" i="14" s="1"/>
  <c r="X15" i="14" s="1"/>
  <c r="Y15" i="14" s="1"/>
  <c r="I137" i="4" l="1"/>
  <c r="E6" i="27" s="1"/>
  <c r="H137" i="4"/>
  <c r="D6" i="27" s="1"/>
  <c r="AE96" i="14"/>
  <c r="R74" i="14"/>
  <c r="S86" i="14"/>
  <c r="W86" i="14" s="1"/>
  <c r="X86" i="14" s="1"/>
  <c r="Y86" i="14" s="1"/>
  <c r="H195" i="3"/>
  <c r="H196" i="3" s="1"/>
  <c r="D5" i="27" s="1"/>
  <c r="I268" i="10"/>
  <c r="E12" i="27" s="1"/>
  <c r="I196" i="19"/>
  <c r="E13" i="27" s="1"/>
  <c r="I171" i="9"/>
  <c r="E11" i="27" s="1"/>
  <c r="I196" i="3"/>
  <c r="E5" i="27" s="1"/>
  <c r="H268" i="10"/>
  <c r="I159" i="6"/>
  <c r="E8" i="27" s="1"/>
  <c r="I328" i="5"/>
  <c r="E7" i="27" s="1"/>
  <c r="I238" i="2"/>
  <c r="E4" i="27" s="1"/>
  <c r="Q105" i="14"/>
  <c r="H238" i="2"/>
  <c r="D4" i="27" s="1"/>
  <c r="H196" i="19"/>
  <c r="D13" i="27" s="1"/>
  <c r="I220" i="8"/>
  <c r="E10" i="27" s="1"/>
  <c r="C5" i="27"/>
  <c r="H328" i="5"/>
  <c r="D5" i="5" s="1"/>
  <c r="H159" i="6"/>
  <c r="D8" i="27" s="1"/>
  <c r="AE31" i="14"/>
  <c r="AE67" i="14"/>
  <c r="R48" i="14"/>
  <c r="AE40" i="14"/>
  <c r="AE101" i="14"/>
  <c r="S78" i="14"/>
  <c r="W78" i="14" s="1"/>
  <c r="X78" i="14" s="1"/>
  <c r="Y78" i="14" s="1"/>
  <c r="AE71" i="14"/>
  <c r="R60" i="14"/>
  <c r="C13" i="27"/>
  <c r="AE79" i="14"/>
  <c r="R55" i="14"/>
  <c r="R39" i="14"/>
  <c r="D12" i="27"/>
  <c r="D5" i="4"/>
  <c r="D5" i="9"/>
  <c r="S27" i="14"/>
  <c r="W27" i="14" s="1"/>
  <c r="X27" i="14" s="1"/>
  <c r="Y27" i="14" s="1"/>
  <c r="AE91" i="14"/>
  <c r="Q67" i="14"/>
  <c r="R43" i="14"/>
  <c r="R19" i="14"/>
  <c r="R75" i="14"/>
  <c r="AE123" i="14"/>
  <c r="Q91" i="14"/>
  <c r="AE122" i="14"/>
  <c r="AE52" i="14"/>
  <c r="R72" i="14"/>
  <c r="R18" i="14"/>
  <c r="R16" i="14"/>
  <c r="Q13" i="14"/>
  <c r="AE51" i="14"/>
  <c r="R64" i="14"/>
  <c r="AE104" i="14"/>
  <c r="AE59" i="14"/>
  <c r="R22" i="14"/>
  <c r="R23" i="14"/>
  <c r="AE15" i="14"/>
  <c r="S63" i="14"/>
  <c r="W63" i="14" s="1"/>
  <c r="X63" i="14" s="1"/>
  <c r="Y63" i="14" s="1"/>
  <c r="C5" i="4"/>
  <c r="C5" i="3"/>
  <c r="R32" i="14"/>
  <c r="R63" i="14"/>
  <c r="C5" i="10"/>
  <c r="C5" i="5"/>
  <c r="AE83" i="14"/>
  <c r="AE100" i="14"/>
  <c r="R95" i="14"/>
  <c r="AE24" i="14"/>
  <c r="R36" i="14"/>
  <c r="C5" i="2"/>
  <c r="C5" i="9"/>
  <c r="C5" i="6"/>
  <c r="AE27" i="14"/>
  <c r="R47" i="14"/>
  <c r="R82" i="14"/>
  <c r="R28" i="14"/>
  <c r="AE126" i="14"/>
  <c r="AE90" i="14"/>
  <c r="R21" i="14"/>
  <c r="AE56" i="14"/>
  <c r="S100" i="14"/>
  <c r="W100" i="14" s="1"/>
  <c r="X100" i="14" s="1"/>
  <c r="Y100" i="14" s="1"/>
  <c r="R68" i="14"/>
  <c r="AE127" i="14"/>
  <c r="R94" i="14"/>
  <c r="AE94" i="14"/>
  <c r="S33" i="14"/>
  <c r="W33" i="14" s="1"/>
  <c r="X33" i="14" s="1"/>
  <c r="Y33" i="14" s="1"/>
  <c r="Q33" i="14"/>
  <c r="N129" i="14"/>
  <c r="Q12" i="14"/>
  <c r="S12" i="14"/>
  <c r="W12" i="14" s="1"/>
  <c r="X12" i="14" s="1"/>
  <c r="Y12" i="14" s="1"/>
  <c r="Q62" i="14"/>
  <c r="S62" i="14"/>
  <c r="W62" i="14" s="1"/>
  <c r="X62" i="14" s="1"/>
  <c r="Y62" i="14" s="1"/>
  <c r="Q46" i="14"/>
  <c r="S46" i="14"/>
  <c r="W46" i="14" s="1"/>
  <c r="X46" i="14" s="1"/>
  <c r="Y46" i="14" s="1"/>
  <c r="Q66" i="14"/>
  <c r="S66" i="14"/>
  <c r="W66" i="14" s="1"/>
  <c r="X66" i="14" s="1"/>
  <c r="Y66" i="14" s="1"/>
  <c r="Q81" i="14"/>
  <c r="S81" i="14"/>
  <c r="W81" i="14" s="1"/>
  <c r="X81" i="14" s="1"/>
  <c r="Y81" i="14" s="1"/>
  <c r="Q85" i="14"/>
  <c r="S85" i="14"/>
  <c r="W85" i="14" s="1"/>
  <c r="X85" i="14" s="1"/>
  <c r="Y85" i="14" s="1"/>
  <c r="R69" i="14"/>
  <c r="AE69" i="14"/>
  <c r="R124" i="14"/>
  <c r="AE124" i="14"/>
  <c r="P129" i="14"/>
  <c r="U12" i="14"/>
  <c r="AE50" i="14"/>
  <c r="R50" i="14"/>
  <c r="R57" i="14"/>
  <c r="AE57" i="14"/>
  <c r="AE38" i="14"/>
  <c r="R38" i="14"/>
  <c r="S53" i="14"/>
  <c r="W53" i="14" s="1"/>
  <c r="X53" i="14" s="1"/>
  <c r="Y53" i="14" s="1"/>
  <c r="Q53" i="14"/>
  <c r="S41" i="14"/>
  <c r="W41" i="14" s="1"/>
  <c r="X41" i="14" s="1"/>
  <c r="Y41" i="14" s="1"/>
  <c r="Q41" i="14"/>
  <c r="AE77" i="14"/>
  <c r="R77" i="14"/>
  <c r="AE89" i="14"/>
  <c r="R89" i="14"/>
  <c r="AE121" i="14"/>
  <c r="R121" i="14"/>
  <c r="AE34" i="14"/>
  <c r="R34" i="14"/>
  <c r="AE30" i="14"/>
  <c r="R30" i="14"/>
  <c r="Q42" i="14"/>
  <c r="S42" i="14"/>
  <c r="W42" i="14" s="1"/>
  <c r="X42" i="14" s="1"/>
  <c r="Y42" i="14" s="1"/>
  <c r="R45" i="14"/>
  <c r="AE45" i="14"/>
  <c r="R61" i="14"/>
  <c r="AE61" i="14"/>
  <c r="R88" i="14"/>
  <c r="AE88" i="14"/>
  <c r="Q107" i="14"/>
  <c r="S107" i="14"/>
  <c r="W107" i="14" s="1"/>
  <c r="X107" i="14" s="1"/>
  <c r="Y107" i="14" s="1"/>
  <c r="R98" i="14"/>
  <c r="AE98" i="14"/>
  <c r="R128" i="14"/>
  <c r="AE128" i="14"/>
  <c r="S29" i="14"/>
  <c r="W29" i="14" s="1"/>
  <c r="X29" i="14" s="1"/>
  <c r="Y29" i="14" s="1"/>
  <c r="Q29" i="14"/>
  <c r="S37" i="14"/>
  <c r="W37" i="14" s="1"/>
  <c r="X37" i="14" s="1"/>
  <c r="Y37" i="14" s="1"/>
  <c r="Q37" i="14"/>
  <c r="S49" i="14"/>
  <c r="W49" i="14" s="1"/>
  <c r="X49" i="14" s="1"/>
  <c r="Y49" i="14" s="1"/>
  <c r="Q49" i="14"/>
  <c r="AE70" i="14"/>
  <c r="R70" i="14"/>
  <c r="AE93" i="14"/>
  <c r="R93" i="14"/>
  <c r="S76" i="14"/>
  <c r="W76" i="14" s="1"/>
  <c r="X76" i="14" s="1"/>
  <c r="Y76" i="14" s="1"/>
  <c r="Q76" i="14"/>
  <c r="S102" i="14"/>
  <c r="W102" i="14" s="1"/>
  <c r="X102" i="14" s="1"/>
  <c r="Y102" i="14" s="1"/>
  <c r="Q102" i="14"/>
  <c r="M129" i="14"/>
  <c r="AE12" i="14"/>
  <c r="R12" i="14"/>
  <c r="S57" i="14"/>
  <c r="W57" i="14" s="1"/>
  <c r="X57" i="14" s="1"/>
  <c r="Y57" i="14" s="1"/>
  <c r="Q57" i="14"/>
  <c r="R53" i="14"/>
  <c r="AE53" i="14"/>
  <c r="Q77" i="14"/>
  <c r="S77" i="14"/>
  <c r="W77" i="14" s="1"/>
  <c r="X77" i="14" s="1"/>
  <c r="Y77" i="14" s="1"/>
  <c r="Q121" i="14"/>
  <c r="S121" i="14"/>
  <c r="W121" i="14" s="1"/>
  <c r="X121" i="14" s="1"/>
  <c r="Y121" i="14" s="1"/>
  <c r="Q30" i="14"/>
  <c r="S30" i="14"/>
  <c r="W30" i="14" s="1"/>
  <c r="X30" i="14" s="1"/>
  <c r="Y30" i="14" s="1"/>
  <c r="R29" i="14"/>
  <c r="AE29" i="14"/>
  <c r="R37" i="14"/>
  <c r="AE37" i="14"/>
  <c r="Q70" i="14"/>
  <c r="S70" i="14"/>
  <c r="W70" i="14" s="1"/>
  <c r="X70" i="14" s="1"/>
  <c r="Y70" i="14" s="1"/>
  <c r="Q93" i="14"/>
  <c r="S93" i="14"/>
  <c r="W93" i="14" s="1"/>
  <c r="X93" i="14" s="1"/>
  <c r="Y93" i="14" s="1"/>
  <c r="R102" i="14"/>
  <c r="AE102" i="14"/>
  <c r="R25" i="14"/>
  <c r="AE25" i="14"/>
  <c r="AE62" i="14"/>
  <c r="R62" i="14"/>
  <c r="AE46" i="14"/>
  <c r="R46" i="14"/>
  <c r="AE66" i="14"/>
  <c r="R66" i="14"/>
  <c r="AE81" i="14"/>
  <c r="R81" i="14"/>
  <c r="AE85" i="14"/>
  <c r="R85" i="14"/>
  <c r="S69" i="14"/>
  <c r="W69" i="14" s="1"/>
  <c r="X69" i="14" s="1"/>
  <c r="Y69" i="14" s="1"/>
  <c r="Q69" i="14"/>
  <c r="S111" i="14"/>
  <c r="W111" i="14" s="1"/>
  <c r="X111" i="14" s="1"/>
  <c r="Y111" i="14" s="1"/>
  <c r="Q111" i="14"/>
  <c r="S124" i="14"/>
  <c r="W124" i="14" s="1"/>
  <c r="X124" i="14" s="1"/>
  <c r="Y124" i="14" s="1"/>
  <c r="Q124" i="14"/>
  <c r="AE26" i="14"/>
  <c r="R26" i="14"/>
  <c r="AE73" i="14"/>
  <c r="R73" i="14"/>
  <c r="R84" i="14"/>
  <c r="AE84" i="14"/>
  <c r="Q103" i="14"/>
  <c r="S103" i="14"/>
  <c r="W103" i="14" s="1"/>
  <c r="X103" i="14" s="1"/>
  <c r="Y103" i="14" s="1"/>
  <c r="R106" i="14"/>
  <c r="AE106" i="14"/>
  <c r="Q113" i="14"/>
  <c r="S113" i="14"/>
  <c r="W113" i="14" s="1"/>
  <c r="X113" i="14" s="1"/>
  <c r="Y113" i="14" s="1"/>
  <c r="AE42" i="14"/>
  <c r="R42" i="14"/>
  <c r="S45" i="14"/>
  <c r="W45" i="14" s="1"/>
  <c r="X45" i="14" s="1"/>
  <c r="Y45" i="14" s="1"/>
  <c r="Q45" i="14"/>
  <c r="S61" i="14"/>
  <c r="W61" i="14" s="1"/>
  <c r="X61" i="14" s="1"/>
  <c r="Y61" i="14" s="1"/>
  <c r="Q61" i="14"/>
  <c r="S88" i="14"/>
  <c r="W88" i="14" s="1"/>
  <c r="X88" i="14" s="1"/>
  <c r="Y88" i="14" s="1"/>
  <c r="Q88" i="14"/>
  <c r="S98" i="14"/>
  <c r="W98" i="14" s="1"/>
  <c r="X98" i="14" s="1"/>
  <c r="Y98" i="14" s="1"/>
  <c r="Q98" i="14"/>
  <c r="S128" i="14"/>
  <c r="W128" i="14" s="1"/>
  <c r="X128" i="14" s="1"/>
  <c r="Y128" i="14" s="1"/>
  <c r="Q128" i="14"/>
  <c r="R65" i="14"/>
  <c r="AE65" i="14"/>
  <c r="R92" i="14"/>
  <c r="AE92" i="14"/>
  <c r="Q109" i="14"/>
  <c r="S109" i="14"/>
  <c r="W109" i="14" s="1"/>
  <c r="X109" i="14" s="1"/>
  <c r="Y109" i="14" s="1"/>
  <c r="AE58" i="14"/>
  <c r="R58" i="14"/>
  <c r="S80" i="14"/>
  <c r="W80" i="14" s="1"/>
  <c r="X80" i="14" s="1"/>
  <c r="Y80" i="14" s="1"/>
  <c r="Q80" i="14"/>
  <c r="Q38" i="14"/>
  <c r="S38" i="14"/>
  <c r="W38" i="14" s="1"/>
  <c r="X38" i="14" s="1"/>
  <c r="Y38" i="14" s="1"/>
  <c r="R41" i="14"/>
  <c r="AE41" i="14"/>
  <c r="Q89" i="14"/>
  <c r="S89" i="14"/>
  <c r="W89" i="14" s="1"/>
  <c r="X89" i="14" s="1"/>
  <c r="Y89" i="14" s="1"/>
  <c r="AE54" i="14"/>
  <c r="R54" i="14"/>
  <c r="AE99" i="14"/>
  <c r="R99" i="14"/>
  <c r="AE125" i="14"/>
  <c r="R125" i="14"/>
  <c r="AE49" i="14"/>
  <c r="R49" i="14"/>
  <c r="R76" i="14"/>
  <c r="AE76" i="14"/>
  <c r="Q115" i="14"/>
  <c r="S115" i="14"/>
  <c r="W115" i="14" s="1"/>
  <c r="X115" i="14" s="1"/>
  <c r="Y115" i="14" s="1"/>
  <c r="S25" i="14"/>
  <c r="W25" i="14" s="1"/>
  <c r="X25" i="14" s="1"/>
  <c r="Y25" i="14" s="1"/>
  <c r="Q25" i="14"/>
  <c r="Q58" i="14"/>
  <c r="S58" i="14"/>
  <c r="W58" i="14" s="1"/>
  <c r="X58" i="14" s="1"/>
  <c r="Y58" i="14" s="1"/>
  <c r="R80" i="14"/>
  <c r="AE80" i="14"/>
  <c r="Q119" i="14"/>
  <c r="S119" i="14"/>
  <c r="W119" i="14" s="1"/>
  <c r="X119" i="14" s="1"/>
  <c r="Y119" i="14" s="1"/>
  <c r="AE17" i="14"/>
  <c r="R17" i="14"/>
  <c r="R33" i="14"/>
  <c r="AE33" i="14"/>
  <c r="Q73" i="14"/>
  <c r="S73" i="14"/>
  <c r="W73" i="14" s="1"/>
  <c r="X73" i="14" s="1"/>
  <c r="Y73" i="14" s="1"/>
  <c r="S84" i="14"/>
  <c r="W84" i="14" s="1"/>
  <c r="X84" i="14" s="1"/>
  <c r="Y84" i="14" s="1"/>
  <c r="Q84" i="14"/>
  <c r="AE103" i="14"/>
  <c r="R103" i="14"/>
  <c r="S106" i="14"/>
  <c r="W106" i="14" s="1"/>
  <c r="X106" i="14" s="1"/>
  <c r="Y106" i="14" s="1"/>
  <c r="Q106" i="14"/>
  <c r="Q54" i="14"/>
  <c r="S54" i="14"/>
  <c r="W54" i="14" s="1"/>
  <c r="X54" i="14" s="1"/>
  <c r="Y54" i="14" s="1"/>
  <c r="Q99" i="14"/>
  <c r="S99" i="14"/>
  <c r="W99" i="14" s="1"/>
  <c r="X99" i="14" s="1"/>
  <c r="Y99" i="14" s="1"/>
  <c r="Q117" i="14"/>
  <c r="S117" i="14"/>
  <c r="W117" i="14" s="1"/>
  <c r="X117" i="14" s="1"/>
  <c r="Y117" i="14" s="1"/>
  <c r="Q125" i="14"/>
  <c r="S125" i="14"/>
  <c r="W125" i="14" s="1"/>
  <c r="X125" i="14" s="1"/>
  <c r="Y125" i="14" s="1"/>
  <c r="S65" i="14"/>
  <c r="W65" i="14" s="1"/>
  <c r="X65" i="14" s="1"/>
  <c r="Y65" i="14" s="1"/>
  <c r="Q65" i="14"/>
  <c r="S92" i="14"/>
  <c r="W92" i="14" s="1"/>
  <c r="X92" i="14" s="1"/>
  <c r="Y92" i="14" s="1"/>
  <c r="Q92" i="14"/>
  <c r="D5" i="19" l="1"/>
  <c r="D7" i="27"/>
  <c r="D5" i="6"/>
  <c r="D5" i="2"/>
  <c r="C5" i="8"/>
  <c r="H85" i="8"/>
  <c r="H91" i="8" s="1"/>
  <c r="H220" i="8" s="1"/>
  <c r="D5" i="3"/>
  <c r="R129" i="14"/>
  <c r="Q129" i="14"/>
  <c r="AE129" i="14"/>
  <c r="D10" i="27" l="1"/>
  <c r="G213" i="1"/>
  <c r="G237" i="1" l="1"/>
  <c r="G273" i="1" s="1"/>
  <c r="C3" i="27" s="1"/>
  <c r="I213" i="1"/>
  <c r="I235" i="1" s="1"/>
  <c r="I273" i="1" s="1"/>
  <c r="E3" i="27" s="1"/>
  <c r="E15" i="27" s="1"/>
  <c r="K213" i="1"/>
  <c r="D5" i="8"/>
  <c r="H213" i="1"/>
  <c r="H237" i="1" s="1"/>
  <c r="C15" i="27" l="1"/>
  <c r="H10" i="27"/>
  <c r="H273" i="1"/>
  <c r="D3" i="27" s="1"/>
  <c r="C5" i="1"/>
  <c r="C17" i="27" l="1"/>
  <c r="H17" i="27" s="1"/>
  <c r="C21" i="27"/>
  <c r="C23" i="27" s="1"/>
  <c r="I10" i="27"/>
  <c r="D15" i="27"/>
  <c r="D17" i="27" s="1"/>
  <c r="D5" i="1"/>
  <c r="I12" i="15"/>
  <c r="L12" i="15" s="1"/>
  <c r="H12" i="15"/>
  <c r="K12" i="15" s="1"/>
  <c r="G12" i="15"/>
  <c r="J12" i="15" s="1"/>
  <c r="I17" i="27" l="1"/>
  <c r="M12" i="15"/>
  <c r="Z12" i="15" s="1"/>
  <c r="AD12" i="15" l="1"/>
  <c r="G13" i="15"/>
  <c r="J13" i="15" s="1"/>
  <c r="I13" i="15"/>
  <c r="L13" i="15" s="1"/>
  <c r="H13" i="15"/>
  <c r="K13" i="15" s="1"/>
  <c r="M13" i="15" l="1"/>
  <c r="Z13" i="15" s="1"/>
  <c r="AD13" i="15" s="1"/>
  <c r="I14" i="15"/>
  <c r="L14" i="15" s="1"/>
  <c r="G14" i="15"/>
  <c r="J14" i="15" s="1"/>
  <c r="H14" i="15"/>
  <c r="K14" i="15" s="1"/>
  <c r="M14" i="15" l="1"/>
  <c r="Z14" i="15" s="1"/>
  <c r="AD14" i="15" l="1"/>
  <c r="H15" i="15"/>
  <c r="K15" i="15" s="1"/>
  <c r="I15" i="15"/>
  <c r="L15" i="15" s="1"/>
  <c r="G15" i="15"/>
  <c r="J15" i="15" s="1"/>
  <c r="M15" i="15" l="1"/>
  <c r="Z15" i="15" s="1"/>
  <c r="AD15" i="15" l="1"/>
  <c r="H16" i="15"/>
  <c r="K16" i="15" s="1"/>
  <c r="I16" i="15"/>
  <c r="L16" i="15" s="1"/>
  <c r="G16" i="15"/>
  <c r="J16" i="15" s="1"/>
  <c r="M16" i="15" l="1"/>
  <c r="Z16" i="15" s="1"/>
  <c r="AD16" i="15" l="1"/>
  <c r="I17" i="15"/>
  <c r="L17" i="15" s="1"/>
  <c r="G17" i="15"/>
  <c r="J17" i="15" s="1"/>
  <c r="H17" i="15"/>
  <c r="K17" i="15" s="1"/>
  <c r="M17" i="15" l="1"/>
  <c r="Z17" i="15" s="1"/>
  <c r="AD17" i="15" l="1"/>
  <c r="H18" i="15"/>
  <c r="K18" i="15" s="1"/>
  <c r="I18" i="15"/>
  <c r="L18" i="15" s="1"/>
  <c r="G18" i="15"/>
  <c r="J18" i="15" s="1"/>
  <c r="M18" i="15" l="1"/>
  <c r="Z18" i="15" s="1"/>
  <c r="AD18" i="15"/>
  <c r="G20" i="15"/>
  <c r="J20" i="15" s="1"/>
  <c r="H20" i="15"/>
  <c r="K20" i="15" s="1"/>
  <c r="G22" i="15"/>
  <c r="I22" i="15"/>
  <c r="L22" i="15" s="1"/>
  <c r="H22" i="15"/>
  <c r="K22" i="15" s="1"/>
  <c r="I20" i="15"/>
  <c r="L20" i="15" s="1"/>
  <c r="H25" i="15"/>
  <c r="K25" i="15" s="1"/>
  <c r="G25" i="15"/>
  <c r="J25" i="15" s="1"/>
  <c r="I25" i="15"/>
  <c r="L25" i="15" s="1"/>
  <c r="H23" i="15"/>
  <c r="K23" i="15" s="1"/>
  <c r="G23" i="15"/>
  <c r="J23" i="15" s="1"/>
  <c r="I23" i="15"/>
  <c r="L23" i="15" s="1"/>
  <c r="I24" i="15"/>
  <c r="L24" i="15" s="1"/>
  <c r="G24" i="15"/>
  <c r="J24" i="15" s="1"/>
  <c r="H24" i="15"/>
  <c r="K24" i="15" s="1"/>
  <c r="G21" i="15"/>
  <c r="H21" i="15"/>
  <c r="K21" i="15" s="1"/>
  <c r="I21" i="15"/>
  <c r="L21" i="15" s="1"/>
  <c r="J21" i="15" l="1"/>
  <c r="M21" i="15" s="1"/>
  <c r="J22" i="15"/>
  <c r="M22" i="15" s="1"/>
  <c r="M25" i="15"/>
  <c r="M23" i="15"/>
  <c r="M24" i="15"/>
  <c r="M20" i="15"/>
  <c r="C26" i="15"/>
  <c r="C140" i="15" s="1"/>
  <c r="I19" i="15"/>
  <c r="I26" i="15" s="1"/>
  <c r="I140" i="15" s="1"/>
  <c r="H19" i="15"/>
  <c r="K19" i="15" s="1"/>
  <c r="K26" i="15" s="1"/>
  <c r="K140" i="15" s="1"/>
  <c r="G19" i="15"/>
  <c r="H26" i="15" l="1"/>
  <c r="H140" i="15" s="1"/>
  <c r="Z22" i="15"/>
  <c r="AD22" i="15" s="1"/>
  <c r="L19" i="15"/>
  <c r="L26" i="15" s="1"/>
  <c r="L140" i="15" s="1"/>
  <c r="Z20" i="15"/>
  <c r="AD20" i="15" s="1"/>
  <c r="Z23" i="15"/>
  <c r="AD23" i="15" s="1"/>
  <c r="G26" i="15"/>
  <c r="G140" i="15" s="1"/>
  <c r="J19" i="15"/>
  <c r="M19" i="15" s="1"/>
  <c r="Z19" i="15" s="1"/>
  <c r="Z24" i="15"/>
  <c r="AD24" i="15" s="1"/>
  <c r="Z25" i="15"/>
  <c r="AD25" i="15" s="1"/>
  <c r="Z21" i="15"/>
  <c r="AD21" i="15" s="1"/>
  <c r="J26" i="15" l="1"/>
  <c r="J140" i="15" s="1"/>
  <c r="M26" i="15"/>
  <c r="M140" i="15" s="1"/>
  <c r="AD19" i="15" l="1"/>
  <c r="AD26" i="15" s="1"/>
  <c r="AD140" i="15" s="1"/>
  <c r="Z26" i="15"/>
  <c r="Z140" i="15" s="1"/>
  <c r="G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3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50% de alvo a vacinar
</t>
        </r>
      </text>
    </comment>
    <comment ref="D33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50% de alvo a vacinar
</t>
        </r>
      </text>
    </comment>
    <comment ref="D33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 fichas por tabanca
</t>
        </r>
      </text>
    </comment>
    <comment ref="D34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60 manuais de 34 páginaas</t>
        </r>
      </text>
    </comment>
    <comment ref="D362" authorId="0" shapeId="0" xr:uid="{00000000-0006-0000-0300-000005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tc={7FE74D35-CD31-4958-B6F5-193762A09A42}</author>
    <author>Lenovo</author>
  </authors>
  <commentList>
    <comment ref="D1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Coordenação Tecnica 1, Comunicação 1, Logistica 1, MAPI 1, e CTV 1
</t>
        </r>
      </text>
    </comment>
    <comment ref="D59" authorId="1" shapeId="0" xr:uid="{7FE74D35-CD31-4958-B6F5-193762A09A4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Bafatá 2
Bolama 0
Farim 1
Biombo 2
Cacheu 2
Gabú 2
Oio 2
Quinara 1
Tombali 2
</t>
      </text>
    </comment>
    <comment ref="D8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Coordenadores-6, CTV-1, Membros CTV-3, Gestores de dados-3, Assistente Administrativo-1, Informatico-1, Comunicação-2, MAPI-2, Logistico-2</t>
        </r>
      </text>
    </comment>
    <comment ref="D84" authorId="2" shapeId="0" xr:uid="{4BA21EE0-191B-46C7-AE23-BDCEB283673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UNICEF-2; OMS-2; SOLINA- 3;  UGCP 11; PLAN-2; BM-1.</t>
        </r>
      </text>
    </comment>
    <comment ref="D102" authorId="2" shapeId="0" xr:uid="{7BB3ACB9-4BE5-4205-A7B7-EF1E82CB8666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UNICEF-2; OMS-2; SOLINA- 3;  UGCP 11; PLAN-2; BM-1.</t>
        </r>
      </text>
    </comment>
  </commentList>
</comments>
</file>

<file path=xl/sharedStrings.xml><?xml version="1.0" encoding="utf-8"?>
<sst xmlns="http://schemas.openxmlformats.org/spreadsheetml/2006/main" count="5844" uniqueCount="1637">
  <si>
    <t>Parceiro de Implementação:Direcção de Serviço Imunização e Vigilância Epidemiológia</t>
  </si>
  <si>
    <t>Ref do FACE (A ser preenchido pelo UNICEF):</t>
  </si>
  <si>
    <r>
      <t xml:space="preserve">Montante Solicitado: </t>
    </r>
    <r>
      <rPr>
        <b/>
        <sz val="10"/>
        <rFont val="Arial"/>
        <family val="2"/>
      </rPr>
      <t xml:space="preserve"> </t>
    </r>
  </si>
  <si>
    <t>Orcamento Solicitado (conforme FACE submetido)</t>
  </si>
  <si>
    <t>Orcamento Aprovado (conforme FACE aprovado pelo UNICEF)</t>
  </si>
  <si>
    <t>Explicacao</t>
  </si>
  <si>
    <t>Rubricas</t>
  </si>
  <si>
    <t>Unidade</t>
  </si>
  <si>
    <t>Unid</t>
  </si>
  <si>
    <t>Qde</t>
  </si>
  <si>
    <t>Frequencia</t>
  </si>
  <si>
    <t>C. Unitário</t>
  </si>
  <si>
    <t>C. Total Fcfa</t>
  </si>
  <si>
    <t>Qdade</t>
  </si>
  <si>
    <t>Freequencia</t>
  </si>
  <si>
    <t>C.U</t>
  </si>
  <si>
    <t>Custo Total Fcfa</t>
  </si>
  <si>
    <t>Gasoleo</t>
  </si>
  <si>
    <t>Bafata</t>
  </si>
  <si>
    <t>Bijagos</t>
  </si>
  <si>
    <t>Bolama</t>
  </si>
  <si>
    <t>Cacheu</t>
  </si>
  <si>
    <t>Farim</t>
  </si>
  <si>
    <t>Gabu</t>
  </si>
  <si>
    <t>Oio</t>
  </si>
  <si>
    <t>Quinara</t>
  </si>
  <si>
    <t>SAB</t>
  </si>
  <si>
    <t>Tombali</t>
  </si>
  <si>
    <t>Pessoas</t>
  </si>
  <si>
    <t>Gasóleo</t>
  </si>
  <si>
    <t>Gasolina</t>
  </si>
  <si>
    <t>Perdiem pessoal de apoio Biombo</t>
  </si>
  <si>
    <t>Pausa Café Biombo</t>
  </si>
  <si>
    <t>Perdiem pessoal de apoio Bolama</t>
  </si>
  <si>
    <t>Pausa Café Bolama</t>
  </si>
  <si>
    <t>Perdiem pessoal de apoio SAB</t>
  </si>
  <si>
    <t>Pausa Café SAB</t>
  </si>
  <si>
    <t>Perdiem pessoal de apoio Tombali</t>
  </si>
  <si>
    <t>Pausa Café Tombali</t>
  </si>
  <si>
    <t>Pessoal de apoio</t>
  </si>
  <si>
    <t>Perdiem Vacinadores Bafata</t>
  </si>
  <si>
    <t>Perdiem Vacinadores Bolama</t>
  </si>
  <si>
    <t>Perdiem Vacinadores Cacheu</t>
  </si>
  <si>
    <t>Perdiem Formadores Vacinadores (RAS)</t>
  </si>
  <si>
    <t>Pausa Café Vacinadores</t>
  </si>
  <si>
    <t>Perdiem Voluntários Bafata</t>
  </si>
  <si>
    <t>Perdiem Voluntários Bolama</t>
  </si>
  <si>
    <t>Perdiem Voluntários Cacheu</t>
  </si>
  <si>
    <t>Pausa Café  Voluntários</t>
  </si>
  <si>
    <t>Perdiem Coordenadores de NR Bafata</t>
  </si>
  <si>
    <t>Perdiem Administrador Regional Bafata</t>
  </si>
  <si>
    <t>Perdiem Gestores de dados  (SIS) Bafata</t>
  </si>
  <si>
    <t>Perdiem Logístico (Ponto focal de PAV) Bafata</t>
  </si>
  <si>
    <t>Perdiem Gestor Regional de MAPI Bafata</t>
  </si>
  <si>
    <t>Perdiem supervisores regionais Bafata</t>
  </si>
  <si>
    <t>Perdiem motoristas regionais Bafata</t>
  </si>
  <si>
    <t>Pessoa</t>
  </si>
  <si>
    <t>Perdiem Coordenadores de NR Biombo</t>
  </si>
  <si>
    <t>Perdiem Administrador Regional Biombo</t>
  </si>
  <si>
    <t>Perdiem Gestores de dados  (SIS) Biombo</t>
  </si>
  <si>
    <t>Perdiem Logístico (Ponto focal de PAV) Biombo</t>
  </si>
  <si>
    <t>Perdiem Gestor Regional de MAPI Biombo</t>
  </si>
  <si>
    <t>Perdiem supervisores regionais Biombo</t>
  </si>
  <si>
    <t>Perdiem Coordenadores de NR Bolama</t>
  </si>
  <si>
    <t>Perdiem Administrador Regional Bolama</t>
  </si>
  <si>
    <t>Perdiem Logístico (Ponto focal de PAV) Bolama</t>
  </si>
  <si>
    <t>Perdiem Gestor Regional de MAPI Bolama</t>
  </si>
  <si>
    <t>Perdiem supervisores regionais Bolama</t>
  </si>
  <si>
    <t>Perdiem motoristas regionais Bolama</t>
  </si>
  <si>
    <t>Perdiem Coordenadores de NR SAB</t>
  </si>
  <si>
    <t>Perdiem Administrador Regional SAB</t>
  </si>
  <si>
    <t>Perdiem Gestores de dados  (SIS) SAB</t>
  </si>
  <si>
    <t>Perdiem Logístico (Ponto focal de PAV) SAB</t>
  </si>
  <si>
    <t>Perdiem Gestor Regional de MAPI SAB</t>
  </si>
  <si>
    <t>Perdiem supervisores regionais SAB</t>
  </si>
  <si>
    <t>Perdiem motoristas regionais SAB</t>
  </si>
  <si>
    <t>Perdiem Coordenadores de NR Tombali</t>
  </si>
  <si>
    <t>Perdiem Administrador Regional Tombali</t>
  </si>
  <si>
    <t>Perdiem Gestores de dados  (SIS) Tombali</t>
  </si>
  <si>
    <t>Perdiem Logístico (Ponto focal de PAV) Tombali</t>
  </si>
  <si>
    <t>Perdiem Gestor Regional de MAPI Tombali</t>
  </si>
  <si>
    <r>
      <t>Perdiem motoristas Coordenaç</t>
    </r>
    <r>
      <rPr>
        <sz val="11"/>
        <rFont val="Arial"/>
        <family val="2"/>
      </rPr>
      <t>ão de NR Tombali</t>
    </r>
  </si>
  <si>
    <t>Perdiem supervisores regionais Tombali</t>
  </si>
  <si>
    <t>Motorizada</t>
  </si>
  <si>
    <t>Viatura</t>
  </si>
  <si>
    <t>Travessia</t>
  </si>
  <si>
    <t>Pausa Café</t>
  </si>
  <si>
    <t>Travessia Farim</t>
  </si>
  <si>
    <t>Combustivel</t>
  </si>
  <si>
    <t xml:space="preserve"> Cacheu</t>
  </si>
  <si>
    <t>Litros</t>
  </si>
  <si>
    <t>TOTAL GERAL</t>
  </si>
  <si>
    <t>DADOS PARA O CABEÇALHO DAS PÁGINAS</t>
  </si>
  <si>
    <t>PAÍS</t>
  </si>
  <si>
    <t>AUTORIDADE DE SAÚDE:</t>
  </si>
  <si>
    <t>DIREÇÃO</t>
  </si>
  <si>
    <t>NOME DA CAMPANHA:</t>
  </si>
  <si>
    <t>DATAS DA CAMPANHA:</t>
  </si>
  <si>
    <t>DADOS DE POPULAÇÃO PARA OS CÁLCULOS DE MICROPLANO</t>
  </si>
  <si>
    <t xml:space="preserve">ALVO A VACINAÇÃO DE COVID_19 POR AS E ESTRATÉGIAS DE VACINAÇÃO </t>
  </si>
  <si>
    <t>REGIÕES SANITÁRIAS</t>
  </si>
  <si>
    <t xml:space="preserve">AREAS SANITARIAS </t>
  </si>
  <si>
    <t>POPULAÇÃO POR AREAS SANITARIAS 2023</t>
  </si>
  <si>
    <t>PORCENTAGEM DA POPULAÇÃO QUE VIVE A</t>
  </si>
  <si>
    <t>POPULAÇÃO QUE VIVE A</t>
  </si>
  <si>
    <t>Alvo a vacinar por estratégia de vacinação (20,3%) pop total</t>
  </si>
  <si>
    <t>Equipa de vacinação por estratégia de vacinação</t>
  </si>
  <si>
    <t>NOMBRE DE JOURS DE VACCINATION PAR EQUIPE</t>
  </si>
  <si>
    <t xml:space="preserve"> 0 a 5 km de um CS</t>
  </si>
  <si>
    <t>6 a 15 km de um CS</t>
  </si>
  <si>
    <t xml:space="preserve"> &gt; 15 km de um CS</t>
  </si>
  <si>
    <t>Total</t>
  </si>
  <si>
    <t>100/D/Eq</t>
  </si>
  <si>
    <t>REGIOE SANITARE</t>
  </si>
  <si>
    <t>NUMERO DE AIRE SANT</t>
  </si>
  <si>
    <t>NUMERO DE SUPERVISOR</t>
  </si>
  <si>
    <t>104/D/Eq</t>
  </si>
  <si>
    <t>Reajust</t>
  </si>
  <si>
    <t>2/Eq</t>
  </si>
  <si>
    <t>1/Eq</t>
  </si>
  <si>
    <t>1/3Eq</t>
  </si>
  <si>
    <t>BAFATA</t>
  </si>
  <si>
    <t xml:space="preserve"> Bafata</t>
  </si>
  <si>
    <t>BAMBADINCA</t>
  </si>
  <si>
    <t xml:space="preserve"> Bijagos</t>
  </si>
  <si>
    <t>CAMBADJU</t>
  </si>
  <si>
    <t xml:space="preserve"> Biombo</t>
  </si>
  <si>
    <t>CONTUBOEL</t>
  </si>
  <si>
    <t xml:space="preserve"> Bolama</t>
  </si>
  <si>
    <t>COSSÉ</t>
  </si>
  <si>
    <t>FAJONQUITO</t>
  </si>
  <si>
    <t xml:space="preserve"> Farim</t>
  </si>
  <si>
    <t>GÃ-CARNÊS</t>
  </si>
  <si>
    <t xml:space="preserve"> Gabu</t>
  </si>
  <si>
    <t>GÃ-MAMUDO</t>
  </si>
  <si>
    <t xml:space="preserve"> Oio</t>
  </si>
  <si>
    <t>GÃ-TURÉ</t>
  </si>
  <si>
    <t xml:space="preserve"> Quinara</t>
  </si>
  <si>
    <t>GÊBA</t>
  </si>
  <si>
    <t xml:space="preserve"> SAB</t>
  </si>
  <si>
    <t>SARE BACAR</t>
  </si>
  <si>
    <t xml:space="preserve"> Tombali</t>
  </si>
  <si>
    <t>TANTAM COSSÉ</t>
  </si>
  <si>
    <t>TENDINTO</t>
  </si>
  <si>
    <t>XITOLE</t>
  </si>
  <si>
    <t>BIJAGOS</t>
  </si>
  <si>
    <t>BUBAQUE</t>
  </si>
  <si>
    <t>CANHABAQUE</t>
  </si>
  <si>
    <t>CANOGO</t>
  </si>
  <si>
    <t>CARAVELA</t>
  </si>
  <si>
    <t>FORMOSA</t>
  </si>
  <si>
    <t>ORANGO GRANDE</t>
  </si>
  <si>
    <t>ORANGOZINHO</t>
  </si>
  <si>
    <t>SOGA</t>
  </si>
  <si>
    <t>UNHOCOMO</t>
  </si>
  <si>
    <t>UNO</t>
  </si>
  <si>
    <t>URACANE</t>
  </si>
  <si>
    <t>BIOMBO</t>
  </si>
  <si>
    <t>BIJIMITA</t>
  </si>
  <si>
    <t>CUMURA</t>
  </si>
  <si>
    <t>DORSE</t>
  </si>
  <si>
    <t>ILONDE</t>
  </si>
  <si>
    <t>ONDAME</t>
  </si>
  <si>
    <t>PRÁBIS</t>
  </si>
  <si>
    <t>QUINHAMEL</t>
  </si>
  <si>
    <t>SAFIM</t>
  </si>
  <si>
    <t>BOLAMA</t>
  </si>
  <si>
    <t>ILHA DE GALINHAS</t>
  </si>
  <si>
    <t>SÃO JOÃO</t>
  </si>
  <si>
    <t>CACHEU</t>
  </si>
  <si>
    <t>BARA</t>
  </si>
  <si>
    <t>BARRO</t>
  </si>
  <si>
    <t>BATUCAR</t>
  </si>
  <si>
    <t>BIGENE</t>
  </si>
  <si>
    <t>BULA</t>
  </si>
  <si>
    <t>CALEQUISSE</t>
  </si>
  <si>
    <t>CAIÓ</t>
  </si>
  <si>
    <t>CANCHUNGO</t>
  </si>
  <si>
    <t>CARENQUE</t>
  </si>
  <si>
    <t>CÓ</t>
  </si>
  <si>
    <t>INGORÉ</t>
  </si>
  <si>
    <t>JETA</t>
  </si>
  <si>
    <t>PECIXE</t>
  </si>
  <si>
    <t>PELUNDO</t>
  </si>
  <si>
    <t>SÃO DOMINGOS</t>
  </si>
  <si>
    <t>SEDENGAL</t>
  </si>
  <si>
    <t>SUZANA</t>
  </si>
  <si>
    <t>VARELA</t>
  </si>
  <si>
    <t>FARIM</t>
  </si>
  <si>
    <t>BINTA</t>
  </si>
  <si>
    <t>CANDJAMBARI</t>
  </si>
  <si>
    <t>CUNTIMA</t>
  </si>
  <si>
    <t>GUIDAGE</t>
  </si>
  <si>
    <t>GABU</t>
  </si>
  <si>
    <t>BAJOCUNDA</t>
  </si>
  <si>
    <t>BELI</t>
  </si>
  <si>
    <t>BURUNTUMA</t>
  </si>
  <si>
    <t>CANJADUDE</t>
  </si>
  <si>
    <t>CANJUFA</t>
  </si>
  <si>
    <t>CANQUELIFA</t>
  </si>
  <si>
    <t>CANSISSÉ</t>
  </si>
  <si>
    <t>DANDUM</t>
  </si>
  <si>
    <t>DARA</t>
  </si>
  <si>
    <t>FASSE</t>
  </si>
  <si>
    <t>LUGADJOLE</t>
  </si>
  <si>
    <t>MAFANCO</t>
  </si>
  <si>
    <t>MANSADJÃ</t>
  </si>
  <si>
    <t>PAUNCA</t>
  </si>
  <si>
    <t>PIRADA</t>
  </si>
  <si>
    <t>PITCHE</t>
  </si>
  <si>
    <t>SONACO</t>
  </si>
  <si>
    <t>TUMANA</t>
  </si>
  <si>
    <t>OIO</t>
  </si>
  <si>
    <t>BINAR</t>
  </si>
  <si>
    <t>BISSORÃ</t>
  </si>
  <si>
    <t>ENCHEIA</t>
  </si>
  <si>
    <t>MANSABA</t>
  </si>
  <si>
    <t>MANSÔA</t>
  </si>
  <si>
    <t>MORÉS</t>
  </si>
  <si>
    <t>NHACRA</t>
  </si>
  <si>
    <t>OLOSSATO</t>
  </si>
  <si>
    <t>PORTOGOLE</t>
  </si>
  <si>
    <t>QUINARA</t>
  </si>
  <si>
    <t>BRANDÃO</t>
  </si>
  <si>
    <t>BUBA</t>
  </si>
  <si>
    <t>DAR-ES-SALAM</t>
  </si>
  <si>
    <t>EMPADA</t>
  </si>
  <si>
    <t>FULACUNDA</t>
  </si>
  <si>
    <t>TITE</t>
  </si>
  <si>
    <t>AJUDA</t>
  </si>
  <si>
    <t>ANTULA</t>
  </si>
  <si>
    <t>B. MILITAR</t>
  </si>
  <si>
    <t>BANDIM</t>
  </si>
  <si>
    <t>BELÉM</t>
  </si>
  <si>
    <t>CMI</t>
  </si>
  <si>
    <t>CUNTUM</t>
  </si>
  <si>
    <t>LUANDA</t>
  </si>
  <si>
    <t>MISSIRA</t>
  </si>
  <si>
    <t>PEFINE</t>
  </si>
  <si>
    <t xml:space="preserve">PLACK II </t>
  </si>
  <si>
    <t>QUELELE</t>
  </si>
  <si>
    <t>SANTA LUZIA</t>
  </si>
  <si>
    <t>SINTRA NEMA</t>
  </si>
  <si>
    <t>TOMBALI</t>
  </si>
  <si>
    <t>BEDANDA</t>
  </si>
  <si>
    <t>CACINE</t>
  </si>
  <si>
    <t>CALAQUE</t>
  </si>
  <si>
    <t>CATIÓ</t>
  </si>
  <si>
    <t>KOMO</t>
  </si>
  <si>
    <t>QUEBO</t>
  </si>
  <si>
    <t>SANCONHA</t>
  </si>
  <si>
    <t>TIMBO</t>
  </si>
  <si>
    <t>TOTAL</t>
  </si>
  <si>
    <t xml:space="preserve">ALVO A VACINAÇÃO DE MenAfriVac POR AS E ESTRATÉGIAS DE VACINAÇÃO </t>
  </si>
  <si>
    <t>RECURSOS HUMANOS DRS/ERS</t>
  </si>
  <si>
    <t xml:space="preserve">Coordenação Regional </t>
  </si>
  <si>
    <t xml:space="preserve">Administração Regional </t>
  </si>
  <si>
    <t>Supervisores Regionais</t>
  </si>
  <si>
    <t xml:space="preserve">Gestores de dados e Logístico (SIS e PF SIVE) </t>
  </si>
  <si>
    <t xml:space="preserve">Gestores Regionais de MAPI </t>
  </si>
  <si>
    <t>Motoristas Regionais</t>
  </si>
  <si>
    <t>Coordenação</t>
  </si>
  <si>
    <t>Supervisão</t>
  </si>
  <si>
    <t>G.BISSAU</t>
  </si>
  <si>
    <t>Nomber des merinheiros  por la supervision</t>
  </si>
  <si>
    <t>Congelateurs</t>
  </si>
  <si>
    <t>Location Pirogue (Jeta et Pecixe)</t>
  </si>
  <si>
    <t>Location Pirogue (Bissassima de Baixo AS Dar-Es-Salam)</t>
  </si>
  <si>
    <t>Location Pirogue (Ilh´wu de Rei)</t>
  </si>
  <si>
    <t>Location Pirogue (AS Komo)</t>
  </si>
  <si>
    <t xml:space="preserve">Groupe Electrogène saisie de données </t>
  </si>
  <si>
    <t>Partenaires</t>
  </si>
  <si>
    <t>Pause café</t>
  </si>
  <si>
    <t>Carburant groupe electrogene DRS</t>
  </si>
  <si>
    <t>Transport RAS non residents</t>
  </si>
  <si>
    <t xml:space="preserve">Carburant surveillance aller-retour au niveau central dans les régions </t>
  </si>
  <si>
    <t xml:space="preserve">Nomber de logisticien au niveau central </t>
  </si>
  <si>
    <t xml:space="preserve">Nomber dechauffeur niveau central </t>
  </si>
  <si>
    <t xml:space="preserve">Nomber deTechnicien CDF au niveau central </t>
  </si>
  <si>
    <t>Carburant</t>
  </si>
  <si>
    <t xml:space="preserve">Entretien et Réparation vehicule </t>
  </si>
  <si>
    <t xml:space="preserve">Huile 140 (en litres) </t>
  </si>
  <si>
    <t xml:space="preserve">Huile 40 Super (en litres) </t>
  </si>
  <si>
    <t xml:space="preserve">Huile 2 T (en litres) </t>
  </si>
  <si>
    <t xml:space="preserve">Nomber des participants régionaux (Bijagos) </t>
  </si>
  <si>
    <t>Transport participant Bijagos</t>
  </si>
  <si>
    <t>Carburant transport véhicules régionaux</t>
  </si>
  <si>
    <t xml:space="preserve">Perdiem Facilitateurs </t>
  </si>
  <si>
    <t xml:space="preserve">Consultant international </t>
  </si>
  <si>
    <t xml:space="preserve">Matériel pédagogique (Bloc Nota, porte-documents et stylo à bille) </t>
  </si>
  <si>
    <t xml:space="preserve">Maintenance  photocopieur  Canon 2318 </t>
  </si>
  <si>
    <t xml:space="preserve">Grande agrafeuse </t>
  </si>
  <si>
    <t>Agrafes</t>
  </si>
  <si>
    <t xml:space="preserve">Nomber de technicien régionale </t>
  </si>
  <si>
    <t xml:space="preserve">Carburant pour la collecte des déchets dans les régions (Litres) </t>
  </si>
  <si>
    <t>Carburant pour la collecte des déchets des AS (litres)</t>
  </si>
  <si>
    <t xml:space="preserve">Transport Bijagós </t>
  </si>
  <si>
    <t>Transport  Bolama</t>
  </si>
  <si>
    <t>Location de camions pour le transport des déchets des régions</t>
  </si>
  <si>
    <t>Carburant pour la collecte des déchets des DRS au niveau central (litres)</t>
  </si>
  <si>
    <t>Chargement et déchargement des déchets dans les régions</t>
  </si>
  <si>
    <t>Transport des déchets Bijagós et Bolama par bateau</t>
  </si>
  <si>
    <t>Frais parement incineration</t>
  </si>
  <si>
    <t>Perdiem  techniciens  reecherche active cas MAPI post campagne  de la région sanitaire</t>
  </si>
  <si>
    <t xml:space="preserve">Carburant  (essence) techniciens recherche active cas MAPI région sanitaire de Gabú I post - campagne </t>
  </si>
  <si>
    <t xml:space="preserve">Perdiem techniciens sante prise em charge  des cas MAPI au niveau régional </t>
  </si>
  <si>
    <t>Carburant ambulance pour le transfert de cas grave MAPI</t>
  </si>
  <si>
    <t xml:space="preserve">Carburant d'ambulance pour le transfert de cas MAPI (Bijagós) </t>
  </si>
  <si>
    <t xml:space="preserve">Perdiem chauffeur ambulance  </t>
  </si>
  <si>
    <t xml:space="preserve">Achat de paracétamol (500 mg) </t>
  </si>
  <si>
    <t xml:space="preserve">Achat de paracétamol (sirop) </t>
  </si>
  <si>
    <t>Achat d'adrénaline (injectable)</t>
  </si>
  <si>
    <t xml:space="preserve">Achat d'hydrocortisone (100 mg, injectable) </t>
  </si>
  <si>
    <t xml:space="preserve">Achat d'eau distillée (5 ml) </t>
  </si>
  <si>
    <t>Achat de diazépam (10 mg - 2 ml)</t>
  </si>
  <si>
    <t>Achat de coton (rouleau 500g) (1 rouleau par région)</t>
  </si>
  <si>
    <t>Achat de seringues (5 ml)</t>
  </si>
  <si>
    <t>Achat de gants ambidextres (7,5) (boîtes)</t>
  </si>
  <si>
    <t>Perdiem participantes residentes (Supervisores Regionais)</t>
  </si>
  <si>
    <t xml:space="preserve">Perdiem participantes residentes Gestores de dados </t>
  </si>
  <si>
    <t>Perdiem participante residente Diretor Adjunto</t>
  </si>
  <si>
    <t>Perdiem participante residente Administrador Regional</t>
  </si>
  <si>
    <t>Perdiem Vacinadores Bambadinca</t>
  </si>
  <si>
    <t>Perdiem Vacinadores Cambadju</t>
  </si>
  <si>
    <t>Perdiem Vacinadores Contuboel</t>
  </si>
  <si>
    <t>Perdiem Vacinadores Cossé</t>
  </si>
  <si>
    <t>Perdiem Vacinadores Fajonquito</t>
  </si>
  <si>
    <t>Perdiem Vacinadores Ga-Carnes</t>
  </si>
  <si>
    <t>Perdiem Vacinadores Ga-Mamudo</t>
  </si>
  <si>
    <t>Perdiem Vacinadores Ga-Turé</t>
  </si>
  <si>
    <t>Perdiem Vacinadores Geba</t>
  </si>
  <si>
    <t>Perdiem Vacinadores AS Sare Bacar</t>
  </si>
  <si>
    <t>Perdiem Vacinadores AS Tantam-Cossé</t>
  </si>
  <si>
    <t>Perdiem Vacinadores AS Tendinto</t>
  </si>
  <si>
    <t>Perdiem Vacinadores AS Xitole</t>
  </si>
  <si>
    <t>Perdiem Voluntários Bambadinca</t>
  </si>
  <si>
    <t>Perdiem Voluntários Cambadju</t>
  </si>
  <si>
    <t>Perdiem Voluntários Contuboel</t>
  </si>
  <si>
    <t>Perdiem Voluntários Cossé</t>
  </si>
  <si>
    <t>Perdiem Voluntários Fajonquito</t>
  </si>
  <si>
    <t>Perdiem Voluntários Ga-Carnes</t>
  </si>
  <si>
    <t>Perdiem Voluntários Ga-Mamudo</t>
  </si>
  <si>
    <t>Perdiem Voluntários Ga-Turé</t>
  </si>
  <si>
    <t>Perdiem Voluntários Geba</t>
  </si>
  <si>
    <t>Perdiem Voluntários AS Sare Bacar</t>
  </si>
  <si>
    <t>Perdiem Voluntários AS Tantam-Cossé</t>
  </si>
  <si>
    <t>Perdiem Voluntários AS Tendinto</t>
  </si>
  <si>
    <t>Perdiem Voluntários AS Xitole</t>
  </si>
  <si>
    <t>Perdiem Vacinadores AS Bafata</t>
  </si>
  <si>
    <t>Perdiem Voluntários AS Bafata</t>
  </si>
  <si>
    <t>Perdiem Gestores de casos de MAPI Á S (Busca ativa) AS Bafata</t>
  </si>
  <si>
    <t>Perdiem Vacinadores AS Bambadinca</t>
  </si>
  <si>
    <t>Perdiem Voluntários  AS Bambadinca</t>
  </si>
  <si>
    <t>Perdiem Gestores de casos de MAPI Á S (Busca ativa) AS Bambadinca</t>
  </si>
  <si>
    <t>Perdiem Vacinadores AS Cambadju</t>
  </si>
  <si>
    <t>Perdiem Voluntários  AS Cambadju</t>
  </si>
  <si>
    <t>Perdiem Gestores de casos de MAPI Á S (Busca ativa) AS Cambadju</t>
  </si>
  <si>
    <t>Perdiem Vacinadores AS Contuboel</t>
  </si>
  <si>
    <t>Perdiem Voluntários AS Contuboel</t>
  </si>
  <si>
    <t>Perdiem Gestores de casos de MAPI Á S (Busca ativa) AS Contuboel</t>
  </si>
  <si>
    <t>Perdiem Vacinadores AS Cossé</t>
  </si>
  <si>
    <t>Perdiem Voluntários  AS Cossé</t>
  </si>
  <si>
    <t>Perdiem Gestores de casos de MAPI Á S (Busca ativa) AS Cossé</t>
  </si>
  <si>
    <t>Perdiem Vacinadores AS Fajonquito</t>
  </si>
  <si>
    <t>Perdiem Voluntários  AS Fajonquito</t>
  </si>
  <si>
    <t>Perdiem Gestores de casos de MAPI Á S (Busca ativa) AS Fajonquito</t>
  </si>
  <si>
    <t>Perdiem Voluntários  Ga-Carnes</t>
  </si>
  <si>
    <t>Perdiem Gestores de casos de MAPI Á S (Busca ativa) Ga-Carnes</t>
  </si>
  <si>
    <t>Perdiem Voluntários  Ga-Mamudo</t>
  </si>
  <si>
    <t>Perdiem Gestores de casos de MAPI Á S (Busca ativa) Ga-Mamudo</t>
  </si>
  <si>
    <t xml:space="preserve">Perdiem Vacinadores AS Ga-Turé </t>
  </si>
  <si>
    <t xml:space="preserve">Perdiem Voluntários AS Ga-Turé </t>
  </si>
  <si>
    <t xml:space="preserve">Perdiem Gestores de casos de MAPI Á S (Busca ativa) AS Ga-Turé </t>
  </si>
  <si>
    <t>Perdiem Vacinadores  AS Geba</t>
  </si>
  <si>
    <t>Perdiem Voluntários  AS geba</t>
  </si>
  <si>
    <t>Perdiem Gestores de casos de MAPI Á S (Busca ativa) AS Geba</t>
  </si>
  <si>
    <t>Perdiem Vacinadores  AS Sare Bacar</t>
  </si>
  <si>
    <t>Perdiem Voluntários  AS Sare Bacar</t>
  </si>
  <si>
    <t>Perdiem Gestores de casos de MAPI Á S (Busca ativa) AS Sare Bacar</t>
  </si>
  <si>
    <t>Perdiem Voluntários  AS Tantam-Cossé</t>
  </si>
  <si>
    <t>Perdiem Gestores de casos de MAPI Á S (Busca ativa) AS Tantam-Cossé</t>
  </si>
  <si>
    <t>Perdiem Gestores de casos de MAPI Á S (Busca ativa) AS Tendinto</t>
  </si>
  <si>
    <t>Perdiem Vacinadores  AS Xitole</t>
  </si>
  <si>
    <t>Perdiem Gestores de casos de MAPI Á S (Busca ativa) AS Xitole</t>
  </si>
  <si>
    <t>Perdiem Supervisores de proximidade AS Bafata</t>
  </si>
  <si>
    <t>Perdiem Supervisores de proximidade AS Bambadinca</t>
  </si>
  <si>
    <t>Perdiem Supervisores de proximidade AS Cambadju</t>
  </si>
  <si>
    <t>Perdiem Supervisores de proximidade AS Contuboel</t>
  </si>
  <si>
    <t>Perdiem Supervisores de proximidade AS Cossé</t>
  </si>
  <si>
    <t>Perdiem Supervisores de proximidade AS Fajonquito</t>
  </si>
  <si>
    <t>Perdiem Supervisores de proximidade AS Ga-Carnes</t>
  </si>
  <si>
    <t>Perdiem Supervisores de proximidade AS Ga-Mamudo</t>
  </si>
  <si>
    <t>Perdiem Supervisores de proximidade AS Ga-Turé</t>
  </si>
  <si>
    <t>Perdiem Supervisores de proximidade AS Geba</t>
  </si>
  <si>
    <t>Perdiem Supervisores de proximidade AS Sare Bacar</t>
  </si>
  <si>
    <t>Perdiem Supervisores de proximidade AS Tantam-Cossé</t>
  </si>
  <si>
    <t>Perdiem Supervisores de proximidade AS Tendinto</t>
  </si>
  <si>
    <t>Perdiem Supervisores de proximidade AS Xitole</t>
  </si>
  <si>
    <t>Perdiem assistente regional de CdF Bafata</t>
  </si>
  <si>
    <t>Atividade 3: Formação Nivel Regional</t>
  </si>
  <si>
    <t>Atividade 3.1:Formacao formadores/Supervisores</t>
  </si>
  <si>
    <t>Atividade 3. 2: Formação dos vacinadores</t>
  </si>
  <si>
    <t>Atividade 3. 3: Formação dos Voluntários</t>
  </si>
  <si>
    <t>Atividade 4: Reunião de Avaliação Nivel Regional</t>
  </si>
  <si>
    <t>Perdiem RAS residente Bafata</t>
  </si>
  <si>
    <t>Perdiem RAS nao residente Ga-Mamudo</t>
  </si>
  <si>
    <t>Perdiem ponto focal de SIVE Regional</t>
  </si>
  <si>
    <t>Perdiem Responsável SIS Regional</t>
  </si>
  <si>
    <t>Perdiem ERS</t>
  </si>
  <si>
    <t>Perdiem pessoal de apoio</t>
  </si>
  <si>
    <t>Transporte RAS não residentes</t>
  </si>
  <si>
    <t>Perdiem RAS não residente Bambadinca</t>
  </si>
  <si>
    <t>Perdiem RAS não residente Cambadju</t>
  </si>
  <si>
    <t>Perdiem RAS não residente Contuboel</t>
  </si>
  <si>
    <t>Perdiem RAS não residente Cossé</t>
  </si>
  <si>
    <t>Perdiem RAS não residente Fajonquito</t>
  </si>
  <si>
    <t>Perdiem RAS não residente Ga-Carnes</t>
  </si>
  <si>
    <t>Perdiem RAS não residente Ga-Turé</t>
  </si>
  <si>
    <t>Perdiem RAS não residente Geba</t>
  </si>
  <si>
    <t>Perdiem RAS não residente Sare Bacar</t>
  </si>
  <si>
    <t>Perdiem RAS não residente Tantam-Cossé</t>
  </si>
  <si>
    <t>Perdiem RAS não residente Tendinto</t>
  </si>
  <si>
    <t>Perdiem RAS não residente Xitole</t>
  </si>
  <si>
    <t>Perdiem Representante de ASC</t>
  </si>
  <si>
    <t>Perdiem Govenador Regional</t>
  </si>
  <si>
    <t>Perdiem parceiros regionais</t>
  </si>
  <si>
    <t>Pausa Café  reunião de Avaliação regional</t>
  </si>
  <si>
    <t>Atividade 5: Comunicação e Mobilização Sociai</t>
  </si>
  <si>
    <t>Atividade 1: Perdiem dos Atores (Vacinadores, Voluntários, Supervisores, Coordenadores , Gestores de Dados e outros)</t>
  </si>
  <si>
    <t>Perdiem Formadores locais (RAS)</t>
  </si>
  <si>
    <t>Perdiem Participantes Nível Central (Técnico+Motorista)</t>
  </si>
  <si>
    <t>Combustível para animadores</t>
  </si>
  <si>
    <t>Combustível para geradores DRS</t>
  </si>
  <si>
    <t>Atividade 5.1: Formação dos animadores (ONG, ASC, OBC)</t>
  </si>
  <si>
    <t>Lancemento regional da campanha</t>
  </si>
  <si>
    <t>Atividade 5.2: Mobilização Social de proximidade pelos animadores (ONG, ASC, OBC)</t>
  </si>
  <si>
    <t>Perdiem de Animadores (ONG, ASC, OBC) AS Bafata</t>
  </si>
  <si>
    <t>Perdiem de Animadores (ONG, ASC, OBC) AS Bambadinca</t>
  </si>
  <si>
    <t>Perdiem de Animadores (ONG, ASC, OBC) AS Cambadju</t>
  </si>
  <si>
    <t>Perdiem de Animadores (ONG, ASC, OBC) AS Contuboel</t>
  </si>
  <si>
    <t>Perdiem de Animadores (ONG, ASC, OBC) AS Cossé</t>
  </si>
  <si>
    <t>Perdiem de Animadores (ONG, ASC, OBC) AS Fajonquito</t>
  </si>
  <si>
    <t>Perdiem de Animadores (ONG, ASC, OBC) AS Ga-Carnes</t>
  </si>
  <si>
    <t>Perdiem de Animadores (ONG, ASC, OBC) AS Ga-Mamudo</t>
  </si>
  <si>
    <t>Perdiem de Animadores (ONG, ASC, OBC) AS Ga-Turé</t>
  </si>
  <si>
    <t>Perdiem de Animadores (ONG, ASC, OBC) AS Geba</t>
  </si>
  <si>
    <t>Perdiem de Animadores (ONG, ASC, OBC) AS Sare Bacar</t>
  </si>
  <si>
    <t>Perdiem de Animadores (ONG, ASC, OBC) AS Tantam-Cossé</t>
  </si>
  <si>
    <t>Perdiem de Animadores (ONG, ASC, OBC) AS Tendinto</t>
  </si>
  <si>
    <t>Perdiem de Animadores (ONG, ASC, OBC) AS Xitole</t>
  </si>
  <si>
    <t>Atividade 2:. Meios de transporte, Combustível e outros materiais</t>
  </si>
  <si>
    <t>Atividade 2.1:Meios de transporte e outros materiais</t>
  </si>
  <si>
    <t>Perdiem Vacinadores AS Bedanda</t>
  </si>
  <si>
    <t>Perdiem Voluntários AS Bedanda</t>
  </si>
  <si>
    <t>Perdiem Gestores de casos de MAPI Á S (Busca ativa) AS Bedanda</t>
  </si>
  <si>
    <t>Perdiem Supervisores de proximidade AS Bedanda</t>
  </si>
  <si>
    <t>Perdiem Vacinadores AS Cacine</t>
  </si>
  <si>
    <t>Perdiem Voluntários  AS Cacine</t>
  </si>
  <si>
    <t>Perdiem Gestores de casos de MAPI Á S (Busca ativa) AS Cacine</t>
  </si>
  <si>
    <t>Perdiem Supervisores de proximidade AS Cacine</t>
  </si>
  <si>
    <t>Perdiem Vacinadores AS Calaque</t>
  </si>
  <si>
    <t>Perdiem Voluntários  AS Calaque</t>
  </si>
  <si>
    <t>Perdiem Gestores de casos de MAPI Á S (Busca ativa) AS Calaque</t>
  </si>
  <si>
    <t>Perdiem Supervisores de proximidade AS Calaque</t>
  </si>
  <si>
    <t>Perdiem Vacinadores AS Catió</t>
  </si>
  <si>
    <t>Perdiem Voluntários AS Catió</t>
  </si>
  <si>
    <t>Perdiem Gestores de casos de MAPI Á S (Busca ativa) AS Catió</t>
  </si>
  <si>
    <t>Perdiem Supervisores de proximidade AS Catió</t>
  </si>
  <si>
    <t>Perdiem Vacinadores AS Komo</t>
  </si>
  <si>
    <t>Perdiem Voluntários  AS Komo</t>
  </si>
  <si>
    <t>Perdiem Gestores de casos de MAPI Á S (Busca ativa) AS Komo</t>
  </si>
  <si>
    <t>Perdiem Supervisores de proximidade AS Komo</t>
  </si>
  <si>
    <t>Perdiem Vacinadores AS Quebo</t>
  </si>
  <si>
    <t>Perdiem Supervisores de proximidade AS Quebo</t>
  </si>
  <si>
    <t>Perdiem Voluntários  AS Quebo</t>
  </si>
  <si>
    <t>Perdiem Gestores de casos de MAPI Á S (Busca ativa) AS Quebo</t>
  </si>
  <si>
    <t>Perdiem Vacinadores AS Sanconha</t>
  </si>
  <si>
    <t>Perdiem Voluntários  AS Sanconha</t>
  </si>
  <si>
    <t>Perdiem Gestores de casos de MAPI (Busca ativa) AS Sanconha</t>
  </si>
  <si>
    <t>Perdiem Supervisores de proximidade AS Sanconha</t>
  </si>
  <si>
    <t>Perdiem Vacinadores AS Timbo</t>
  </si>
  <si>
    <t>Perdiem Voluntários  AS Timbo</t>
  </si>
  <si>
    <t>Perdiem Supervisores de proximidade AS Timbo</t>
  </si>
  <si>
    <t>Perdiem Gestores de casos de MAPI (Busca ativa) AS Timbo</t>
  </si>
  <si>
    <t>Perdiem assistente regional de CdF Tombali</t>
  </si>
  <si>
    <t xml:space="preserve">Montante Solicitado:  </t>
  </si>
  <si>
    <t>Perdiem participantes não residentes supervisores proximidade AS Ga-Mamudo</t>
  </si>
  <si>
    <t>Perdiem Facilitadres e motoristas nível Central Bafata</t>
  </si>
  <si>
    <t>Pausa Café Bafata</t>
  </si>
  <si>
    <t>Perdiem participantes não residentes supervisores proximidade AS Cacine</t>
  </si>
  <si>
    <t>Perdiem participantes não residentes supervisores proximidade AS Calaque</t>
  </si>
  <si>
    <t>Perdiem participantes não residentes supervisores proximidade AS Komo</t>
  </si>
  <si>
    <t>Perdiem participantes não residentes supervisores proximidade AS Quebo</t>
  </si>
  <si>
    <t>Perdiem participantes não residentes supervisores proximidade AS Sanconha</t>
  </si>
  <si>
    <t>Perdiem participantes não residentes supervisores proximidade AS Timbo</t>
  </si>
  <si>
    <t>Perdiem Facilitadres e motoristas nível Central Tombali</t>
  </si>
  <si>
    <t>Combustível Facilitadores Nível Central Tombali</t>
  </si>
  <si>
    <t>Perdiem Vacinadores As Komo</t>
  </si>
  <si>
    <t>Perdiem Voluntários AS Cacine</t>
  </si>
  <si>
    <t>Perdiem Voluntários AS Calaque</t>
  </si>
  <si>
    <t>Perdiem Voluntários AS Quebo</t>
  </si>
  <si>
    <t>Perdiem Voluntários AS Sanconha</t>
  </si>
  <si>
    <t>Perdiem Voluntários AS Timbo</t>
  </si>
  <si>
    <t>Perdiem RAS não residente AS Bedanda</t>
  </si>
  <si>
    <t>Perdiem RAS não residente AS Cacine</t>
  </si>
  <si>
    <t>Perdiem RAS não residente AS Calaque</t>
  </si>
  <si>
    <t>Perdiem RAS residente AS Catió</t>
  </si>
  <si>
    <t>Perdiem RAS não residente As Komo</t>
  </si>
  <si>
    <t>Perdiem RAS não residente AS Quebo</t>
  </si>
  <si>
    <t>Perdiem RAS não residente AS Sanconha</t>
  </si>
  <si>
    <t>Perdiem RAS não residente AS Timbo</t>
  </si>
  <si>
    <t>Perdiem de Animadores (ONG, ASC, OBC) AS Bedanda</t>
  </si>
  <si>
    <t>Perdiem de Animadores (ONG, ASC, OBC) AS Calaque</t>
  </si>
  <si>
    <t>Perdiem de Animadores (ONG, ASC, OBC) AS Cacine</t>
  </si>
  <si>
    <t>Perdiem de Animadores (ONG, ASC, OBC) AS Catió</t>
  </si>
  <si>
    <t>Perdiem de Animadores (ONG, ASC, OBC) AS Komo</t>
  </si>
  <si>
    <t>Perdiem de Animadores (ONG, ASC, OBC) AS Quebo</t>
  </si>
  <si>
    <t>Perdiem de Animadores (ONG, ASC, OBC) AS Sanconha</t>
  </si>
  <si>
    <t>Perdiem de Animadores (ONG, ASC, OBC) AS Timbo</t>
  </si>
  <si>
    <t>Vacinadores</t>
  </si>
  <si>
    <t>Voluntários</t>
  </si>
  <si>
    <t>Sub-Total AS</t>
  </si>
  <si>
    <t>Sub-Total RS</t>
  </si>
  <si>
    <t>Sub-Total 3: Formação Nivel Regional</t>
  </si>
  <si>
    <t>Atividade 2: Meios de transporte, Combustível e outros materiais</t>
  </si>
  <si>
    <t>Sub-Total 2: Meios de transporte, Combustível e outros materiais</t>
  </si>
  <si>
    <t>Sub-Total 1: Perdiem dos Atores (Vacinadores, Voluntários, Supervisores, Coordenadores , Gestores de Dados e outros)</t>
  </si>
  <si>
    <t>Sub-Total 4: Reunião de Avaliação Nivel Regional</t>
  </si>
  <si>
    <t>Perdiem Vacinadores AS Ajuda</t>
  </si>
  <si>
    <t>Perdiem Voluntários AS Ajuda</t>
  </si>
  <si>
    <t>Perdiem Gestores de casos de MAPI Á S (Busca ativa) AS Ajuda</t>
  </si>
  <si>
    <t>Perdiem Supervisores de proximidade AS Ajuda</t>
  </si>
  <si>
    <t>Perdiem Vacinadores AS Antula</t>
  </si>
  <si>
    <t>Perdiem Voluntários  AS Antula</t>
  </si>
  <si>
    <t>Perdiem Gestores de casos de MAPI Á S (Busca ativa) AS Antula</t>
  </si>
  <si>
    <t>Perdiem Supervisores de proximidade AS Antula</t>
  </si>
  <si>
    <t>Perdiem Vacinadores AS B.Militar</t>
  </si>
  <si>
    <t>Perdiem Voluntários  AS B.Militar</t>
  </si>
  <si>
    <t>Perdiem Gestores de casos de MAPI Á S (Busca ativa) AS B.Militar</t>
  </si>
  <si>
    <t>Perdiem Supervisores de proximidade AS B.Militar</t>
  </si>
  <si>
    <t>Perdiem Vacinadores AS Bandim</t>
  </si>
  <si>
    <t>Perdiem Voluntários AS Bandim</t>
  </si>
  <si>
    <t>Perdiem Gestores de casos de MAPI Á S (Busca ativa) AS Bandim</t>
  </si>
  <si>
    <t>Perdiem Supervisores de proximidade AS Bandim</t>
  </si>
  <si>
    <t>Perdiem Vacinadores AS Belém</t>
  </si>
  <si>
    <t>Perdiem Voluntários  AS Belém</t>
  </si>
  <si>
    <t>Perdiem Gestores de casos de MAPI Á S (Busca ativa) AS Belém</t>
  </si>
  <si>
    <t>Perdiem Supervisores de proximidade AS Belém</t>
  </si>
  <si>
    <t>Perdiem Vacinadores AS CMI</t>
  </si>
  <si>
    <t>Perdiem Voluntários  AS CMI</t>
  </si>
  <si>
    <t>Perdiem Gestores de casos de MAPI Á S (Busca ativa) AS CMI</t>
  </si>
  <si>
    <t>Perdiem Supervisores de proximidade AS CMI</t>
  </si>
  <si>
    <t>Perdiem Vacinadores AS Cuntum</t>
  </si>
  <si>
    <t>Perdiem Voluntários  AS Cuntum</t>
  </si>
  <si>
    <t>Perdiem Gestores de casos de MAPI Á S (Busca ativa) AS Cuntum</t>
  </si>
  <si>
    <t>Perdiem Supervisores de proximidade AS Cuntum</t>
  </si>
  <si>
    <t>Perdiem Vacinadores AS Luanda</t>
  </si>
  <si>
    <t>Perdiem Voluntários  AS Luanda</t>
  </si>
  <si>
    <t>Perdiem Gestores de casos de MAPI Á S (Busca ativa) AS Luanda</t>
  </si>
  <si>
    <t>Perdiem Supervisores de proximidade AS Luanda</t>
  </si>
  <si>
    <t>Perdiem Vacinadores AS Missira</t>
  </si>
  <si>
    <t>Perdiem Voluntários AS Missira</t>
  </si>
  <si>
    <t>Perdiem Gestores de casos de MAPI Á S (Busca ativa) AS Missira</t>
  </si>
  <si>
    <t>Perdiem Supervisores de proximidade AS Missira</t>
  </si>
  <si>
    <t>Perdiem Vacinadores  AS Pefine</t>
  </si>
  <si>
    <t>Perdiem Voluntários  AS Pefine</t>
  </si>
  <si>
    <t>Perdiem Gestores de casos de MAPI Á S (Busca ativa) AS Pefine</t>
  </si>
  <si>
    <t>Perdiem Supervisores de proximidade AS Pefine</t>
  </si>
  <si>
    <t>Perdiem Vacinadores  AS Plack 2</t>
  </si>
  <si>
    <t>Perdiem Voluntários  AS Plack 2</t>
  </si>
  <si>
    <t>Perdiem Gestores de casos de MAPI Á S (Busca ativa) AS Plack 2</t>
  </si>
  <si>
    <t>Perdiem Supervisores de proximidade AS Plack 2</t>
  </si>
  <si>
    <t>Perdiem Vacinadores AS Quelele</t>
  </si>
  <si>
    <t>Perdiem Voluntários  AS Quelele</t>
  </si>
  <si>
    <t>Perdiem Gestores de casos de MAPI Á S (Busca ativa) AS Quelele</t>
  </si>
  <si>
    <t>Perdiem Supervisores de proximidade AS Quelele</t>
  </si>
  <si>
    <t>Perdiem Vacinadores AS Santa Luzia</t>
  </si>
  <si>
    <t>Perdiem Voluntários AS Santa Luzia</t>
  </si>
  <si>
    <t>Perdiem Gestores de casos de MAPI Á S (Busca ativa) AS Santa Luzia</t>
  </si>
  <si>
    <t>Perdiem Supervisores de proximidade AS Santa Luzia</t>
  </si>
  <si>
    <t>Perdiem Vacinadores  AS Sintra Nema</t>
  </si>
  <si>
    <t>Perdiem Voluntários AS Sintra Nema</t>
  </si>
  <si>
    <t>Perdiem Gestores de casos de MAPI Á S (Busca ativa) AS Sintra Nema</t>
  </si>
  <si>
    <t>Perdiem Supervisores de proximidade AS Sintra Nema</t>
  </si>
  <si>
    <t>Perdiem motoristas Coordenação de NR SAB</t>
  </si>
  <si>
    <t>Perdiem assistente regional de CdF SAB</t>
  </si>
  <si>
    <t>Perdiem Facilitadres e motoristas nível Central SAB</t>
  </si>
  <si>
    <t>Combustível Facilitadores Nível Central SAB</t>
  </si>
  <si>
    <t>Perdiem participantes residentes supervisores proximidade AS Ajuda</t>
  </si>
  <si>
    <t>Perdiem participantes residentes supervisores proximidade AS Antula</t>
  </si>
  <si>
    <t>Perdiem participantes residentes supervisores proximidade AS B. Militar</t>
  </si>
  <si>
    <t>Perdiem participantes residentes supervisores proximidade AS Bandim</t>
  </si>
  <si>
    <t>Perdiem participantes residentes supervisores proximidade AS Belém</t>
  </si>
  <si>
    <t>Perdiem participantes residentes supervisores proximidade AS CMI</t>
  </si>
  <si>
    <t>Perdiem participantes residentes supervisores proximidade AS Cuntum</t>
  </si>
  <si>
    <t>Perdiem participantes residentes supervisores proximidade AS Luanda</t>
  </si>
  <si>
    <t>Perdiem participantes residentes supervisores proximidade AS Missira</t>
  </si>
  <si>
    <t>Perdiem participantes residentes supervisores proximidade AS Pefine</t>
  </si>
  <si>
    <t>Perdiem participantes residentes supervisores proximidade AS Plack 2</t>
  </si>
  <si>
    <t>Perdiem participantes residentes supervisores proximidade AS Quelele</t>
  </si>
  <si>
    <t>Perdiem participantes residentes supervisores proximidade AS Santa Luzia</t>
  </si>
  <si>
    <t>Perdiem participantes residentes supervisores proximidade AS Sintra Nema</t>
  </si>
  <si>
    <t>Perdiem Vacinadores AS Plack 2</t>
  </si>
  <si>
    <t>Perdiem Vacinadores AS Sintra Nema</t>
  </si>
  <si>
    <t>Perdiem Voluntários AS Plack 2</t>
  </si>
  <si>
    <t>Perdiem Voluntários AS Quelele</t>
  </si>
  <si>
    <t>Perdiem RAS residente Ajuda</t>
  </si>
  <si>
    <t>Perdiem RAS residente Antula</t>
  </si>
  <si>
    <t>Perdiem RAS residente B. Militar</t>
  </si>
  <si>
    <t>Perdiem RAS residente Bandim</t>
  </si>
  <si>
    <t>Perdiem RAS residente Belém</t>
  </si>
  <si>
    <t>Perdiem RAS residente CMI</t>
  </si>
  <si>
    <t>Perdiem RAS residente Cuntum</t>
  </si>
  <si>
    <t>Perdiem RAS residente Luanda</t>
  </si>
  <si>
    <t>Perdiem RAS residente Missira</t>
  </si>
  <si>
    <t>Perdiem RAS residente Pefine</t>
  </si>
  <si>
    <t>Perdiem RAS residente Plack 2</t>
  </si>
  <si>
    <t>Perdiem RAS residente Quelele</t>
  </si>
  <si>
    <t>Perdiem RAS residente Santa Luzia</t>
  </si>
  <si>
    <t>Perdiem RAS residente Sintra Nema</t>
  </si>
  <si>
    <t>Perdiem de Animadores (ONG, ASC, OBC) AS Ajuda</t>
  </si>
  <si>
    <t>Perdiem de Animadores (ONG, ASC, OBC) AS Antula</t>
  </si>
  <si>
    <t>Perdiem de Animadores (ONG, ASC, OBC) AS B. Militar</t>
  </si>
  <si>
    <t>Perdiem de Animadores (ONG, ASC, OBC) AS Bandim</t>
  </si>
  <si>
    <t>Perdiem de Animadores (ONG, ASC, OBC) AS Belém</t>
  </si>
  <si>
    <t>Perdiem de Animadores (ONG, ASC, OBC) AS CMI</t>
  </si>
  <si>
    <t>Perdiem de Animadores (ONG, ASC, OBC) AS Cuntum</t>
  </si>
  <si>
    <t>Perdiem de Animadores (ONG, ASC, OBC) AS Luanda</t>
  </si>
  <si>
    <t>Perdiem de Animadores (ONG, ASC, OBC) AS Missira</t>
  </si>
  <si>
    <t>Perdiem de Animadores (ONG, ASC, OBC) AS Pefine</t>
  </si>
  <si>
    <t>Perdiem de Animadores (ONG, ASC, OBC) AS Plack 2</t>
  </si>
  <si>
    <t>Perdiem Vacinadores AS Bijimita</t>
  </si>
  <si>
    <t>Perdiem Voluntários AS Bijimita</t>
  </si>
  <si>
    <t>Perdiem Gestores de casos de MAPI Á S (Busca ativa) AS Bijimita</t>
  </si>
  <si>
    <t>Perdiem Supervisores de proximidade AS Bijimita</t>
  </si>
  <si>
    <t>Perdiem Vacinadores AS Cumura</t>
  </si>
  <si>
    <t>Perdiem Voluntários  AS Cumura</t>
  </si>
  <si>
    <t>Perdiem Gestores de casos de MAPI Á S (Busca ativa) AS Cumura</t>
  </si>
  <si>
    <t>Perdiem Supervisores de proximidade AS Cumura</t>
  </si>
  <si>
    <t>Perdiem Vacinadores AS Dorse</t>
  </si>
  <si>
    <t>Perdiem Voluntários  AS Dorse</t>
  </si>
  <si>
    <t>Perdiem Gestores de casos de MAPI Á S (Busca ativa) AS Dorse</t>
  </si>
  <si>
    <t>Perdiem Supervisores de proximidade AS Dorse</t>
  </si>
  <si>
    <t>Perdiem Vacinadores AS Ilonde</t>
  </si>
  <si>
    <t>Perdiem Voluntários AS Ilonde</t>
  </si>
  <si>
    <t>Perdiem Gestores de casos de MAPI Á S (Busca ativa) AS Ilonde</t>
  </si>
  <si>
    <t>Perdiem Supervisores de proximidade AS Ilonde</t>
  </si>
  <si>
    <t>Perdiem Vacinadores AS Ondame</t>
  </si>
  <si>
    <t>Perdiem Voluntários  AS Ondame</t>
  </si>
  <si>
    <t>Perdiem Gestores de casos de MAPI Á S (Busca ativa) AS Ondame</t>
  </si>
  <si>
    <t>Perdiem Supervisores de proximidade AS Ondame</t>
  </si>
  <si>
    <t>Perdiem Vacinadores AS Prábis</t>
  </si>
  <si>
    <t>Perdiem Voluntários  AS Prábis</t>
  </si>
  <si>
    <t>Perdiem Gestores de casos de MAPI Á S (Busca ativa) AS Prábis</t>
  </si>
  <si>
    <t>Perdiem Supervisores de proximidade AS Prabis</t>
  </si>
  <si>
    <t>Perdiem Vacinadores AS Quinhamel</t>
  </si>
  <si>
    <t>Perdiem Voluntários  AS Quinhamel</t>
  </si>
  <si>
    <t>Perdiem Gestores de casos de MAPI Á S (Busca ativa) AS Quinhamel</t>
  </si>
  <si>
    <t>Perdiem Supervisores de proximidade AS Quinhamel</t>
  </si>
  <si>
    <t>Perdiem Voluntários  AS Safim</t>
  </si>
  <si>
    <t>Perdiem Vacinadores AS Safim</t>
  </si>
  <si>
    <t>Perdiem Gestores de casos de MAPI Á S (Busca ativa) AS Safim</t>
  </si>
  <si>
    <t>Perdiem motoristas Coordenação de NR Biombo</t>
  </si>
  <si>
    <t>Perdiem assistente regional de CdF Biombo</t>
  </si>
  <si>
    <t>Perdiem de Animadores (ONG, ASC, OBC) AS Bijimita</t>
  </si>
  <si>
    <t>Perdiem de Animadores (ONG, ASC, OBC) AS Cumura</t>
  </si>
  <si>
    <t>Perdiem de Animadores (ONG, ASC, OBC) AS Dorse</t>
  </si>
  <si>
    <t>Perdiem de Animadores (ONG, ASC, OBC) AS Ilonde</t>
  </si>
  <si>
    <t>Perdiem de Animadores (ONG, ASC, OBC) AS Ondame</t>
  </si>
  <si>
    <t>Perdiem de Animadores (ONG, ASC, OBC) AS Prábis</t>
  </si>
  <si>
    <t>Perdiem de Animadores (ONG, ASC, OBC) AS Quinhamel</t>
  </si>
  <si>
    <t>Perdiem de Animadores (ONG, ASC, OBC) AS Safim</t>
  </si>
  <si>
    <t>Perdiem RAS não residente Cumura</t>
  </si>
  <si>
    <t>Perdiem RAS não residente Dorse</t>
  </si>
  <si>
    <t>Perdiem RAS não residente Ilonde</t>
  </si>
  <si>
    <t>Perdiem RAS não residente Ondame</t>
  </si>
  <si>
    <t>Perdiem RAS não residente Prábis</t>
  </si>
  <si>
    <t>Perdiem RAS nao residente Safim</t>
  </si>
  <si>
    <t>Perdiem Voluntários Bijimita</t>
  </si>
  <si>
    <t>Perdiem Vacinadores Cumura</t>
  </si>
  <si>
    <t>Perdiem Vacinadores Dorse</t>
  </si>
  <si>
    <t>Perdiem Vacinadores Ilonde</t>
  </si>
  <si>
    <t>Perdiem Vacinadores Ondame</t>
  </si>
  <si>
    <t>Perdiem participantes não residentes supervisores proximidade AS Cumura</t>
  </si>
  <si>
    <t>Perdiem participantes não residentes supervisores proximidade AS Dorse</t>
  </si>
  <si>
    <t>Perdiem participantes não residentes supervisores proximidade AS Ilonde</t>
  </si>
  <si>
    <t>Perdiem participantes não residentes supervisores proximidade AS Ondame</t>
  </si>
  <si>
    <t>Perdiem participantes não residentes supervisores proximidade AS Prábis</t>
  </si>
  <si>
    <t>Perdiem participantes não residentes supervisores proximidade AS Safim</t>
  </si>
  <si>
    <t>Perdiem Facilitadres e motoristas nível Central Biombo</t>
  </si>
  <si>
    <t>Combustível Facilitadores Nível Central Biombo</t>
  </si>
  <si>
    <t>Perdiem Vacinadores Bijimita</t>
  </si>
  <si>
    <t>Perdiem RAS não residente Bijimita</t>
  </si>
  <si>
    <t>Perdiem RAS residente Quinhamel</t>
  </si>
  <si>
    <t>Perdiem participantes não residentes supervisores proximidade AS Bijimita</t>
  </si>
  <si>
    <t>Perdiem participantes residentes supervisores proximidade AS Quinhamel</t>
  </si>
  <si>
    <t>Perdiem Voluntários AS Bolama</t>
  </si>
  <si>
    <t>Perdiem Gestores de casos de MAPI Á S (Busca ativa) AS Bolama</t>
  </si>
  <si>
    <t>Perdiem Supervisores de proximidade AS Bolama</t>
  </si>
  <si>
    <t>Perdiem Vacinadores AS Ilha de Galinhas</t>
  </si>
  <si>
    <t>Perdiem Voluntários  AS Ilha de Galinhas</t>
  </si>
  <si>
    <t>Perdiem Vacinadores AS Bolama</t>
  </si>
  <si>
    <t>Perdiem Gestores de casos de MAPI Á S (Busca ativa) AS Ilha de Galinhas</t>
  </si>
  <si>
    <t>Perdiem Supervisores de proximidade AS Ilha de Galinhas</t>
  </si>
  <si>
    <t>Perdiem Vacinadores AS São Joao</t>
  </si>
  <si>
    <t>Perdiem Voluntários  AS São Joao</t>
  </si>
  <si>
    <t>Perdiem Gestores de casos de MAPI Á S (Busca ativa) AS São Joao</t>
  </si>
  <si>
    <t>Perdiem Supervisores de proximidade AS São Joao</t>
  </si>
  <si>
    <t>Perdiem Gestores de dados  (SIS) Bolama</t>
  </si>
  <si>
    <t>Perdiem motoristas Coordenação de NR Bolama</t>
  </si>
  <si>
    <t>Perdiem assistente regional de CdF Bolama</t>
  </si>
  <si>
    <t>Perdiem participantes residentes supervisores proximidade AS Bolama</t>
  </si>
  <si>
    <t>Perdiem Facilitadres e motoristas nível Central Bolama</t>
  </si>
  <si>
    <t>Combustível Facilitadores Nível Central Bolama</t>
  </si>
  <si>
    <t>Perdiem RAS residente Bolama</t>
  </si>
  <si>
    <t>Perdiem de Animadores (ONG, ASC, OBC) AS Bolama</t>
  </si>
  <si>
    <t>Perdiem de Animadores (ONG, ASC, OBC) AS Ilha de Galinhas</t>
  </si>
  <si>
    <t>Perdiem de Animadores (ONG, ASC, OBC) AS São Joao</t>
  </si>
  <si>
    <t>Perdiem RAS não residente Ilha de Galinhas</t>
  </si>
  <si>
    <t>Perdiem RAS não residente São Joao</t>
  </si>
  <si>
    <t>Perdiem Voluntários Ilha de Galinhas</t>
  </si>
  <si>
    <t>Perdiem participantes não residentes supervisores proximidade AS Ilha de Galinhas</t>
  </si>
  <si>
    <t>Perdiem participantes não residentes supervisores proximidade AS São Joao</t>
  </si>
  <si>
    <t>Perdiem Vacinadores AS Binta</t>
  </si>
  <si>
    <t>Perdiem Voluntários AS Binta</t>
  </si>
  <si>
    <t>Perdiem Gestores de casos de MAPI Á S (Busca ativa) AS Binta</t>
  </si>
  <si>
    <t>Perdiem Supervisores de proximidade AS Binta</t>
  </si>
  <si>
    <t>Perdiem Vacinadores AS Candjambari</t>
  </si>
  <si>
    <t>Perdiem Voluntários  AS Candjambari</t>
  </si>
  <si>
    <t>Perdiem Gestores de casos de MAPI Á S (Busca ativa) AS Candjambari</t>
  </si>
  <si>
    <t>Perdiem Supervisores de proximidade AS Candjambari</t>
  </si>
  <si>
    <t>Perdiem Vacinadores AS Cuntima</t>
  </si>
  <si>
    <t>Perdiem Voluntários  AS Cuntima</t>
  </si>
  <si>
    <t>Perdiem Gestores de casos de MAPI Á S (Busca ativa) AS Cuntima</t>
  </si>
  <si>
    <t>Perdiem Supervisores de proximidade AS Cuntima</t>
  </si>
  <si>
    <t>Perdiem Vacinadores AS Farim</t>
  </si>
  <si>
    <t>Perdiem Voluntários AS Farim</t>
  </si>
  <si>
    <t>Perdiem Gestores de casos de MAPI Á S (Busca ativa) AS Farim</t>
  </si>
  <si>
    <t>Perdiem Supervisores de proximidade AS Farim</t>
  </si>
  <si>
    <t>Perdiem Vacinadores AS Guidage</t>
  </si>
  <si>
    <t>Perdiem Gestores de casos de MAPI Á S (Busca ativa) AS Guidage</t>
  </si>
  <si>
    <t>Perdiem Supervisores de proximidade AS Guidage</t>
  </si>
  <si>
    <t xml:space="preserve">Perdiem Coordenadores de NR </t>
  </si>
  <si>
    <t xml:space="preserve">Perdiem Administrador Regional </t>
  </si>
  <si>
    <t xml:space="preserve">Perdiem Gestores de dados  (SIS) </t>
  </si>
  <si>
    <t xml:space="preserve">Perdiem Logístico (Ponto focal de PAV) </t>
  </si>
  <si>
    <t xml:space="preserve">Perdiem Gestor Regional de MAPI </t>
  </si>
  <si>
    <t xml:space="preserve">Perdiem motoristas Coordenação de NR </t>
  </si>
  <si>
    <t xml:space="preserve">Perdiem supervisores regionais </t>
  </si>
  <si>
    <t xml:space="preserve">Perdiem motoristas regionais </t>
  </si>
  <si>
    <t xml:space="preserve">Perdiem assistente regional de CdF </t>
  </si>
  <si>
    <t>Perdiem participantes residentes supervisores proximidade AS Binta</t>
  </si>
  <si>
    <t>Perdiem participantes não residentes supervisores proximidade AS Candjambari</t>
  </si>
  <si>
    <t>Perdiem participantes não residentes supervisores proximidade AS Cuntima</t>
  </si>
  <si>
    <t>Perdiem participantes não residentes supervisores proximidade AS Farim</t>
  </si>
  <si>
    <t>Perdiem participantes não residentes supervisores proximidade AS Guidage</t>
  </si>
  <si>
    <t xml:space="preserve">Perdiem Facilitadres e motoristas nível Central </t>
  </si>
  <si>
    <t xml:space="preserve">Perdiem pessoal de apoio </t>
  </si>
  <si>
    <t xml:space="preserve">Pausa Café </t>
  </si>
  <si>
    <t xml:space="preserve">Combustível Facilitadores Nível Central </t>
  </si>
  <si>
    <t>Perdiem Vacinadores Binta</t>
  </si>
  <si>
    <t>Perdiem Voluntários Guidage</t>
  </si>
  <si>
    <t>Perdiem RAS não residente Candjambari</t>
  </si>
  <si>
    <t>Perdiem RAS não residente Cuntima</t>
  </si>
  <si>
    <t>Perdiem RAS não residente Guidage</t>
  </si>
  <si>
    <t>Perdiem RAS  residente Farim</t>
  </si>
  <si>
    <t>Perdiem RAS não residente Binta</t>
  </si>
  <si>
    <t>Perdiem de Animadores (ONG, ASC, OBC) AS Binta</t>
  </si>
  <si>
    <t>Perdiem de Animadores (ONG, ASC, OBC) AS Candjambari</t>
  </si>
  <si>
    <t>Perdiem de Animadores (ONG, ASC, OBC) AS Cuntima</t>
  </si>
  <si>
    <t>Perdiem de Animadores (ONG, ASC, OBC) AS Farim</t>
  </si>
  <si>
    <t>Perdiem de Animadores (ONG, ASC, OBC) AS Guidage</t>
  </si>
  <si>
    <t>Perdiem Vacinadores AS Brandao</t>
  </si>
  <si>
    <t>Perdiem Voluntários AS Brandao</t>
  </si>
  <si>
    <t>Perdiem Gestores de casos de MAPI Á S (Busca ativa) AS Brandao</t>
  </si>
  <si>
    <t>Perdiem Supervisores de proximidade AS Brandao</t>
  </si>
  <si>
    <t>Perdiem Vacinadores AS Buba</t>
  </si>
  <si>
    <t>Perdiem Voluntários  AS Buba</t>
  </si>
  <si>
    <t>Perdiem Gestores de casos de MAPI Á S (Busca ativa) AS Buba</t>
  </si>
  <si>
    <t>Perdiem Supervisores de proximidade AS Buba</t>
  </si>
  <si>
    <t>Perdiem Vacinadores AS Dar-Es-Salam</t>
  </si>
  <si>
    <t>Perdiem Voluntários  AS Dar-Es-Salam</t>
  </si>
  <si>
    <t>Perdiem Gestores de casos de MAPI Á S (Busca ativa) AS Dar-Es-Salam</t>
  </si>
  <si>
    <t>Perdiem Supervisores de proximidade AS Dar-Es-Salam</t>
  </si>
  <si>
    <t>Perdiem Vacinadores AS Empada</t>
  </si>
  <si>
    <t>Perdiem Voluntários AS Empada</t>
  </si>
  <si>
    <t>Perdiem Gestores de casos de MAPI Á S (Busca ativa) AS Empada</t>
  </si>
  <si>
    <t>Perdiem Supervisores de proximidade AS Empada</t>
  </si>
  <si>
    <t>Perdiem Vacinadores AS Fulacunda</t>
  </si>
  <si>
    <t>Perdiem Voluntários  AS Fulacunda</t>
  </si>
  <si>
    <t>Perdiem Gestores de casos de MAPI Á S (Busca ativa) AS Fulacunda</t>
  </si>
  <si>
    <t>Perdiem Supervisores de proximidade AS Fulacunda</t>
  </si>
  <si>
    <t>Perdiem Vacinadores AS Tite</t>
  </si>
  <si>
    <t>Perdiem Voluntários  AS Tite</t>
  </si>
  <si>
    <t>Perdiem Gestores de casos de MAPI Á S (Busca ativa) AS Tite</t>
  </si>
  <si>
    <t>Perdiem Supervisores de proximidade AS Tite</t>
  </si>
  <si>
    <t>Perdiem participantes residentes supervisores proximidade AS Brandao</t>
  </si>
  <si>
    <t>Perdiem participantes não residentes supervisores proximidade AS Buba</t>
  </si>
  <si>
    <t>Perdiem participantes não residentes supervisores proximidade AS Dar-Es-Salam</t>
  </si>
  <si>
    <t>Perdiem participantes não residentes supervisores proximidade AS Empada</t>
  </si>
  <si>
    <t>Perdiem participantes não residentes supervisores proximidade AS Fulacunda</t>
  </si>
  <si>
    <t>Perdiem participantes não residentes supervisores proximidade AS Tite</t>
  </si>
  <si>
    <t>Perdiem Facilitadres e motoristas nível Central</t>
  </si>
  <si>
    <t>Combustível Facilitadores Nível Central</t>
  </si>
  <si>
    <t>Perdiem Vacinadores Brandao</t>
  </si>
  <si>
    <t>Perdiem Vacinadores Buba</t>
  </si>
  <si>
    <t>Perdiem Voluntários Brandao</t>
  </si>
  <si>
    <t>Perdiem Voluntários Buba</t>
  </si>
  <si>
    <t>Perdiem Voluntários Dar-Es-Salam</t>
  </si>
  <si>
    <t>Perdiem Voluntários Empada</t>
  </si>
  <si>
    <t>Perdiem Voluntários Fulacunda</t>
  </si>
  <si>
    <t>Perdiem RAS não residente Dar-Es-Salam</t>
  </si>
  <si>
    <t>Perdiem RAS não residente Empada</t>
  </si>
  <si>
    <t>Perdiem RAS não residente Fulacunda</t>
  </si>
  <si>
    <t>Perdiem RAS não residente Tite</t>
  </si>
  <si>
    <t>Perdiem de Animadores (ONG, ASC, OBC) AS Brandao</t>
  </si>
  <si>
    <t>Perdiem de Animadores (ONG, ASC, OBC) AS Buba</t>
  </si>
  <si>
    <t>Perdiem de Animadores (ONG, ASC, OBC) AS Dar-Es-Salam</t>
  </si>
  <si>
    <t>Perdiem de Animadores (ONG, ASC, OBC) AS Empada</t>
  </si>
  <si>
    <t>Perdiem de Animadores (ONG, ASC, OBC) AS Fulacunda</t>
  </si>
  <si>
    <t>Perdiem de Animadores (ONG, ASC, OBC) AS Tite</t>
  </si>
  <si>
    <t>Perdiem RAS  residente Buba</t>
  </si>
  <si>
    <t>Perdiem RAS não residente Brandao</t>
  </si>
  <si>
    <t>Perdiem Vacinadores AS Binar</t>
  </si>
  <si>
    <t>Perdiem Voluntários AS Binar</t>
  </si>
  <si>
    <t>Perdiem Gestores de casos de MAPI Á S (Busca ativa) AS Binar</t>
  </si>
  <si>
    <t>Perdiem Supervisores de proximidade AS Binar</t>
  </si>
  <si>
    <t>Perdiem Vacinadores AS Bissora</t>
  </si>
  <si>
    <t>Perdiem Voluntários  AS Bissora</t>
  </si>
  <si>
    <t>Perdiem Gestores de casos de MAPI Á S (Busca ativa) AS Bissora</t>
  </si>
  <si>
    <t>Perdiem Supervisores de proximidade AS Bissora</t>
  </si>
  <si>
    <t>Perdiem Vacinadores AS Encheia</t>
  </si>
  <si>
    <t>Perdiem Voluntários  AS Encheia</t>
  </si>
  <si>
    <t>Perdiem Gestores de casos de MAPI Á S (Busca ativa) AS Encheia</t>
  </si>
  <si>
    <t>Perdiem Supervisores de proximidade AS Encheia</t>
  </si>
  <si>
    <t>Perdiem Vacinadores AS Ga-Mamudo</t>
  </si>
  <si>
    <t>Perdiem Voluntários AS Ga-Mamudo</t>
  </si>
  <si>
    <t>Perdiem Gestores de casos de MAPI Á S (Busca ativa) AS Ga-Mamudo</t>
  </si>
  <si>
    <t>Perdiem Vacinadores AS Mansaba</t>
  </si>
  <si>
    <t>Perdiem Voluntários  AS Mansaba</t>
  </si>
  <si>
    <t>Perdiem Gestores de casos de MAPI Á S (Busca ativa) AS Mansaba</t>
  </si>
  <si>
    <t>Perdiem Supervisores de proximidade AS Mansaba</t>
  </si>
  <si>
    <t>Perdiem Vacinadores Morés</t>
  </si>
  <si>
    <t>Perdiem Voluntários  Morés</t>
  </si>
  <si>
    <t>Perdiem Gestores de casos de MAPI Á S (Busca ativa) Morés</t>
  </si>
  <si>
    <t>Perdiem Supervisores de proximidade AS Morés</t>
  </si>
  <si>
    <t>Perdiem Vacinadores AS Mansoa</t>
  </si>
  <si>
    <t>Perdiem Voluntários  AS Mansoa</t>
  </si>
  <si>
    <t>Perdiem Gestores de casos de MAPI Á S (Busca ativa) AS Mansoa</t>
  </si>
  <si>
    <t>Perdiem Supervisores de proximidade AS Mansoa</t>
  </si>
  <si>
    <t>Perdiem Vacinadores Nhacra</t>
  </si>
  <si>
    <t>Perdiem Voluntários  Nhacra</t>
  </si>
  <si>
    <t>Perdiem Gestores de casos de MAPI Á S (Busca ativa) Nhacra</t>
  </si>
  <si>
    <t>Perdiem Supervisores de proximidade AS Nhacra</t>
  </si>
  <si>
    <t>Perdiem Vacinadores AS Olossato</t>
  </si>
  <si>
    <t>Perdiem Voluntários AS Olossato</t>
  </si>
  <si>
    <t>Perdiem Gestores de casos de MAPI Á S (Busca ativa) AS Olossato</t>
  </si>
  <si>
    <t>Perdiem Supervisores de proximidade AS Olossato</t>
  </si>
  <si>
    <t>Perdiem Vacinadores  AS Portogole</t>
  </si>
  <si>
    <t>Perdiem Voluntários  AS Portogole</t>
  </si>
  <si>
    <t>Perdiem Gestores de casos de MAPI Á S (Busca ativa) AS Portogole</t>
  </si>
  <si>
    <t>Perdiem Supervisores de proximidade AS Portogole</t>
  </si>
  <si>
    <t>Perdiem participantes não residentes supervisores proximidade AS Bissora</t>
  </si>
  <si>
    <t>Perdiem participantes não residentes supervisores proximidade AS Encheia</t>
  </si>
  <si>
    <t>Perdiem participantes não residentes supervisores proximidade AS Mansaba</t>
  </si>
  <si>
    <t>Perdiem participantes não residentes supervisores proximidade AS Morés</t>
  </si>
  <si>
    <t>Perdiem participantes não residentes supervisores proximidade AS Nhacra</t>
  </si>
  <si>
    <t>Perdiem participantes não residentes supervisores proximidade AS olossato</t>
  </si>
  <si>
    <t>Perdiem participantes não residentes supervisores proximidade AS Portogole</t>
  </si>
  <si>
    <t>Perdiem RAS não residente Bissora</t>
  </si>
  <si>
    <t>Perdiem RAS não residente Encheia</t>
  </si>
  <si>
    <t>Perdiem RAS não residente Mansaba</t>
  </si>
  <si>
    <t>Perdiem RAS não residente Morés</t>
  </si>
  <si>
    <t>Perdiem RAS não residente Nhacra</t>
  </si>
  <si>
    <t>Perdiem RAS não residente Ga-Mamudo</t>
  </si>
  <si>
    <t>Perdiem RAS não residente Olossato</t>
  </si>
  <si>
    <t>Perdiem RAS não residente Portogole</t>
  </si>
  <si>
    <t>Perdiem RAS residente Mansoa</t>
  </si>
  <si>
    <t>Perdiem RAS não  residente Binar</t>
  </si>
  <si>
    <t>Perdiem participantes  residentes supervisores proximidade AS Mansoa</t>
  </si>
  <si>
    <t>Perdiem participantes não residentes supervisores proximidade AS Binar</t>
  </si>
  <si>
    <t>Perdiem Vacinadores AS Bubaque</t>
  </si>
  <si>
    <t>Perdiem Voluntários AS Bubaque</t>
  </si>
  <si>
    <t>Perdiem Supervisores de proximidade AS Bubaque</t>
  </si>
  <si>
    <t>Perdiem Vacinadores AS Canhabaque</t>
  </si>
  <si>
    <t>Perdiem Voluntários  AS Canhabaque</t>
  </si>
  <si>
    <t>Perdiem Gestores de casos de MAPI Á S (Busca ativa) AS Canhabaque</t>
  </si>
  <si>
    <t>Perdiem Supervisores de proximidade AS Canhabaque</t>
  </si>
  <si>
    <t>Perdiem Vacinadores AS Canogo</t>
  </si>
  <si>
    <t>Perdiem Voluntários  AS Canogo</t>
  </si>
  <si>
    <t>Perdiem Gestores de casos de MAPI Á S (Busca ativa) AS Canogo</t>
  </si>
  <si>
    <t>Perdiem Supervisores de proximidade AS Canogo</t>
  </si>
  <si>
    <t>Perdiem Vacinadores AS Caravela</t>
  </si>
  <si>
    <t>Perdiem Voluntários AS Caravela</t>
  </si>
  <si>
    <t>Perdiem Gestores de casos de MAPI Á S (Busca ativa) AS Caravela</t>
  </si>
  <si>
    <t>Perdiem Supervisores de proximidade AS Caravela</t>
  </si>
  <si>
    <t>Perdiem Vacinadores AS Formosa</t>
  </si>
  <si>
    <t>Perdiem Voluntários  AS Formosa</t>
  </si>
  <si>
    <t>Perdiem Gestores de casos de MAPI Á S (Busca ativa) AS Formosa</t>
  </si>
  <si>
    <t>Perdiem Supervisores de proximidade AS Formosa</t>
  </si>
  <si>
    <t>Perdiem Vacinadores AS Orango Grande</t>
  </si>
  <si>
    <t>Perdiem Voluntários  AS Orango Grande</t>
  </si>
  <si>
    <t>Perdiem Gestores de casos de MAPI Á S (Busca ativa) AS Orango Grande</t>
  </si>
  <si>
    <t>Perdiem Supervisores de proximidade AS Orango Grande</t>
  </si>
  <si>
    <t>Perdiem Vacinadores Orangozinho</t>
  </si>
  <si>
    <t>Perdiem Voluntários  Orangozinho</t>
  </si>
  <si>
    <t>Perdiem Gestores de casos de MAPI Á S (Busca ativa) Orangozinho</t>
  </si>
  <si>
    <t>Perdiem Supervisores de proximidade AS Orangozinho</t>
  </si>
  <si>
    <t>Perdiem Vacinadores Soga</t>
  </si>
  <si>
    <t>Perdiem Voluntários  Soga</t>
  </si>
  <si>
    <t>Perdiem Gestores de casos de MAPI Á S (Busca ativa) Soga</t>
  </si>
  <si>
    <t>Perdiem Supervisores de proximidade AS Soga</t>
  </si>
  <si>
    <t>Perdiem Vacinadores AS Unhocomo</t>
  </si>
  <si>
    <t>Perdiem Voluntários AS Unhocomo</t>
  </si>
  <si>
    <t>Perdiem Gestores de casos de MAPI Á S (Busca ativa) AS Unhocomo</t>
  </si>
  <si>
    <t>Perdiem Supervisores de proximidade AS Unhocomo</t>
  </si>
  <si>
    <t>Perdiem Vacinadores  AS Uno</t>
  </si>
  <si>
    <t>Perdiem Voluntários  AS Uno</t>
  </si>
  <si>
    <t>Perdiem Gestores de casos de MAPI Á S (Busca ativa) AS Uno</t>
  </si>
  <si>
    <t>Perdiem Supervisores de proximidade AS Uno</t>
  </si>
  <si>
    <t>Perdiem Vacinadores  AS Uracane</t>
  </si>
  <si>
    <t>Perdiem Voluntários  AS Uracane</t>
  </si>
  <si>
    <t>Perdiem Gestores de casos de MAPI Á S (Busca ativa) AS Uracane</t>
  </si>
  <si>
    <t>Perdiem Supervisores de proximidade AS Uracane</t>
  </si>
  <si>
    <t>Perdiem participantes não residentes supervisores proximidade AS Uracane</t>
  </si>
  <si>
    <t>Perdiem participantes não residentes supervisores proximidade AS Uno</t>
  </si>
  <si>
    <t>Perdiem participantes não residentes supervisores proximidade AS Unhocomo</t>
  </si>
  <si>
    <t>Perdiem participantes não residentes supervisores proximidade AS Soga</t>
  </si>
  <si>
    <t>Perdiem participantes não residentes supervisores proximidade AS Orangozinho</t>
  </si>
  <si>
    <t>Perdiem participantes não residentes supervisores proximidade AS Orango Grande</t>
  </si>
  <si>
    <t>Perdiem participantes não residentes supervisores proximidade AS Formosa</t>
  </si>
  <si>
    <t>Perdiem participantes não residentes supervisores proximidade AS Caravela</t>
  </si>
  <si>
    <t>Perdiem participantes não residentes supervisores proximidade AS Canogo</t>
  </si>
  <si>
    <t>Perdiem participantes não residentes supervisores proximidade AS Canhabaque</t>
  </si>
  <si>
    <t>Perdiem participantes residentes supervisores proximidade AS Bubaque</t>
  </si>
  <si>
    <t>Perdiem Vacinadores Bubaque</t>
  </si>
  <si>
    <t>Perdiem Vacinadores AS Uracane</t>
  </si>
  <si>
    <t>Perdiem Voluntários Bubaque</t>
  </si>
  <si>
    <t>Perdiem Voluntários Unhocomo</t>
  </si>
  <si>
    <t>Perdiem Voluntários AS Uracane</t>
  </si>
  <si>
    <t>Perdiem RAS residente Bubaque</t>
  </si>
  <si>
    <t>Perdiem RAS não residente Canhabaque</t>
  </si>
  <si>
    <t>Perdiem RAS não residente Canogo</t>
  </si>
  <si>
    <t>Perdiem RAS não residente Caravela</t>
  </si>
  <si>
    <t>Perdiem RAS não residente Formosa</t>
  </si>
  <si>
    <t>Perdiem RAS não residente Orango Grande</t>
  </si>
  <si>
    <t>Perdiem RAS não residente Orangozinho</t>
  </si>
  <si>
    <t>Perdiem RAS nao residente Soga</t>
  </si>
  <si>
    <t>Perdiem RAS não residente Unhocomo</t>
  </si>
  <si>
    <t>Perdiem RAS não residente Uno</t>
  </si>
  <si>
    <t>Perdiem RAS não residente Uracane</t>
  </si>
  <si>
    <t>Perdiem de Animadores (ONG, ASC, OBC) AS Bubaque</t>
  </si>
  <si>
    <t>Perdiem de Animadores (ONG, ASC, OBC) AS Canhabaque</t>
  </si>
  <si>
    <t>Perdiem de Animadores (ONG, ASC, OBC) AS Canogo</t>
  </si>
  <si>
    <t>Perdiem de Animadores (ONG, ASC, OBC) AS Caravela</t>
  </si>
  <si>
    <t>Perdiem de Animadores (ONG, ASC, OBC) AS Formosa</t>
  </si>
  <si>
    <t>Perdiem de Animadores (ONG, ASC, OBC) AS Orango Grande</t>
  </si>
  <si>
    <t>Perdiem de Animadores (ONG, ASC, OBC) AS Orangozinho</t>
  </si>
  <si>
    <t>Perdiem de Animadores (ONG, ASC, OBC) AS Soga</t>
  </si>
  <si>
    <t>Perdiem de Animadores (ONG, ASC, OBC) AS Unhocomo</t>
  </si>
  <si>
    <t>Perdiem de Animadores (ONG, ASC, OBC) AS Uno</t>
  </si>
  <si>
    <t>Perdiem de Animadores (ONG, ASC, OBC) AS Uracane</t>
  </si>
  <si>
    <t>Perdiem Gestores de casos de MAPI (Busca ativa) AS Bubaque</t>
  </si>
  <si>
    <t>Perdiem Vacinadores AS Bajocunda</t>
  </si>
  <si>
    <t>Perdiem Voluntários AS Bajocunda</t>
  </si>
  <si>
    <t>Perdiem Gestores de casos de MAPI Á S (Busca ativa) AS Bajocunda</t>
  </si>
  <si>
    <t>Perdiem Supervisores de proximidade AS Bajocunda</t>
  </si>
  <si>
    <t>Perdiem Vacinadores AS Beli</t>
  </si>
  <si>
    <t>Perdiem Voluntários  AS Beli</t>
  </si>
  <si>
    <t>Perdiem Gestores de casos de MAPI Á S (Busca ativa) AS Beli</t>
  </si>
  <si>
    <t>Perdiem Supervisores de proximidade AS Beli</t>
  </si>
  <si>
    <t>Perdiem Vacinadores AS Buruntuma</t>
  </si>
  <si>
    <t>Perdiem Voluntários  AS Buruntuma</t>
  </si>
  <si>
    <t>Perdiem Gestores de casos de MAPI Á S (Busca ativa) AS Buruntuma</t>
  </si>
  <si>
    <t>Perdiem Supervisores de proximidade AS Buruntuma</t>
  </si>
  <si>
    <t>Perdiem Vacinadores AS Canjadude</t>
  </si>
  <si>
    <t>Perdiem Voluntários AS Canjadude</t>
  </si>
  <si>
    <t>Perdiem Gestores de casos de MAPI Á S (Busca ativa) AS Canjadude</t>
  </si>
  <si>
    <t>Perdiem Supervisores de proximidade AS Canjadude</t>
  </si>
  <si>
    <t>Perdiem Vacinadores AS Canjufa</t>
  </si>
  <si>
    <t>Perdiem Voluntários  AS Canjufa</t>
  </si>
  <si>
    <t>Perdiem Gestores de casos de MAPI Á S (Busca ativa) AS Canjufa</t>
  </si>
  <si>
    <t>Perdiem Supervisores de proximidade AS Canjufa</t>
  </si>
  <si>
    <t>Perdiem Vacinadores AS Canquelifa</t>
  </si>
  <si>
    <t>Perdiem Voluntários  AS Canquelifa</t>
  </si>
  <si>
    <t>Perdiem Gestores de casos de MAPI Á S (Busca ativa) AS Canquelifa</t>
  </si>
  <si>
    <t>Perdiem Supervisores de proximidade AS Canquelifa</t>
  </si>
  <si>
    <t>Perdiem Vacinadores Cansissé</t>
  </si>
  <si>
    <t>Perdiem Voluntários  Cansissé</t>
  </si>
  <si>
    <t>Perdiem Gestores de casos de MAPI Á S (Busca ativa) Cansissé</t>
  </si>
  <si>
    <t>Perdiem Supervisores de proximidade AS Cansissé</t>
  </si>
  <si>
    <t>Perdiem Vacinadores Dandum</t>
  </si>
  <si>
    <t>Perdiem Voluntários Dandum</t>
  </si>
  <si>
    <t>Perdiem Gestores de casos de MAPI Á S (Busca ativa) Dandum</t>
  </si>
  <si>
    <t>Perdiem Supervisores de proximidade AS Dandum</t>
  </si>
  <si>
    <t>Perdiem Vacinadores AS Dara</t>
  </si>
  <si>
    <t>Perdiem Voluntários AS Dara</t>
  </si>
  <si>
    <t>Perdiem Gestores de casos de MAPI Á S (Busca ativa) AS Dara</t>
  </si>
  <si>
    <t>Perdiem Supervisores de proximidade AS Dara</t>
  </si>
  <si>
    <t>Perdiem Vacinadores  AS Fasse</t>
  </si>
  <si>
    <t>Perdiem Voluntários  AS Fasse</t>
  </si>
  <si>
    <t>Perdiem Gestores de casos de MAPI Á S (Busca ativa) AS Fasse</t>
  </si>
  <si>
    <t>Perdiem Supervisores de proximidade AS Fasse</t>
  </si>
  <si>
    <t>Perdiem Vacinadores  AS Gabu</t>
  </si>
  <si>
    <t>Perdiem Voluntários  AS Gabu</t>
  </si>
  <si>
    <t>Perdiem Gestores de casos de MAPI Á S (Busca ativa) AS Gabu</t>
  </si>
  <si>
    <t>Perdiem Supervisores de proximidade AS Gabu</t>
  </si>
  <si>
    <t>Perdiem Vacinadores AS Lugadjole</t>
  </si>
  <si>
    <t>Perdiem Voluntários  AS Lugadjole</t>
  </si>
  <si>
    <t>Perdiem Gestores de casos de MAPI Á S (Busca ativa) AS Lugadjole</t>
  </si>
  <si>
    <t>Perdiem Supervisores de proximidade AS Lugadjole</t>
  </si>
  <si>
    <t>Perdiem Vacinadores AS Mafanco</t>
  </si>
  <si>
    <t>Perdiem Voluntários AS Mafanco</t>
  </si>
  <si>
    <t>Perdiem Gestores de casos de MAPI Á S (Busca ativa) AS Mafanco</t>
  </si>
  <si>
    <t>Perdiem Supervisores de proximidade AS Mafanco</t>
  </si>
  <si>
    <t>Perdiem Vacinadores  AS Mansadjan</t>
  </si>
  <si>
    <t>Perdiem Voluntários AS Mansadjan</t>
  </si>
  <si>
    <t>Perdiem Gestores de casos de MAPI Á S (Busca ativa) AS Mansadjan</t>
  </si>
  <si>
    <t>Perdiem Supervisores de proximidade AS Mansadjan</t>
  </si>
  <si>
    <t>Perdiem Vacinadores  AS Paunca</t>
  </si>
  <si>
    <t>Perdiem Voluntários AS Paunca</t>
  </si>
  <si>
    <t>Perdiem Gestores de casos de MAPI Á S (Busca ativa) AS Paunca</t>
  </si>
  <si>
    <t>Perdiem Supervisores de proximidade AS Paunca</t>
  </si>
  <si>
    <t>Perdiem Vacinadores  AS Pitche</t>
  </si>
  <si>
    <t>Perdiem Voluntários AS Pitche</t>
  </si>
  <si>
    <t>Perdiem Gestores de casos de MAPI Á S (Busca ativa) AS Pitche</t>
  </si>
  <si>
    <t>Perdiem Supervisores de proximidade AS Pitche</t>
  </si>
  <si>
    <t>Perdiem Vacinadores  AS Pirada</t>
  </si>
  <si>
    <t>Perdiem Voluntários AS Pirada</t>
  </si>
  <si>
    <t>Perdiem Gestores de casos de MAPI Á S (Busca ativa) AS Pirada</t>
  </si>
  <si>
    <t>Perdiem Supervisores de proximidade AS Pirada</t>
  </si>
  <si>
    <t>Perdiem Vacinadores  AS Sonaco</t>
  </si>
  <si>
    <t>Perdiem Voluntários AS Sonaco</t>
  </si>
  <si>
    <t>Perdiem Gestores de casos de MAPI Á S (Busca ativa) AS Sonaco</t>
  </si>
  <si>
    <t>Perdiem Supervisores de proximidade AS Sonaco</t>
  </si>
  <si>
    <t>Perdiem Vacinadores  AS Tumana</t>
  </si>
  <si>
    <t>Perdiem Voluntários AS Tumana</t>
  </si>
  <si>
    <t>Perdiem Gestores de casos de MAPI Á S (Busca ativa) AS Tumana</t>
  </si>
  <si>
    <t>Perdiem Supervisores de proximidade AS Tuman</t>
  </si>
  <si>
    <t>Perdiem participantes não residentes supervisores proximidade AS Beli</t>
  </si>
  <si>
    <t>Perdiem participantes não residentes supervisores proximidade AS Buruntuma</t>
  </si>
  <si>
    <t>Perdiem participantes não residentes supervisores proximidade AS Canjadude</t>
  </si>
  <si>
    <t>Perdiem participantes não residentes supervisores proximidade AS Canjufa</t>
  </si>
  <si>
    <t>Perdiem participantes não residentes supervisores proximidade AS Canquelifa</t>
  </si>
  <si>
    <t>Perdiem participantes não residentes supervisores proximidade AS Cansissé</t>
  </si>
  <si>
    <t>Perdiem participantes não residentes supervisores proximidade AS Dandum</t>
  </si>
  <si>
    <t>Perdiem participantes não residentes supervisores proximidade AS Dara</t>
  </si>
  <si>
    <t>Perdiem participantes não residentes supervisores proximidade AS Fasse</t>
  </si>
  <si>
    <t>Perdiem participantes residentes supervisores proximidade AS Gabu</t>
  </si>
  <si>
    <t>Perdiem participantes não residentes supervisores proximidade AS Bajocunda</t>
  </si>
  <si>
    <t>Perdiem participantes não residentes supervisores proximidade AS Lugadjole</t>
  </si>
  <si>
    <t>Perdiem participantes não residentes supervisores proximidade AS Mafanco</t>
  </si>
  <si>
    <t>Perdiem participantes não residentes supervisores proximidade AS Mansadjan</t>
  </si>
  <si>
    <t>Perdiem participantes não residentes supervisores proximidade AS Paunca</t>
  </si>
  <si>
    <t>Perdiem participantes não residentes supervisores proximidade AS Pirada</t>
  </si>
  <si>
    <t>Perdiem participantes não residentes supervisores proximidade AS Pitche</t>
  </si>
  <si>
    <t>Perdiem participantes não residentes supervisores proximidade AS Sonaco</t>
  </si>
  <si>
    <t>Perdiem participantes não residentes supervisores proximidade AS Tumana</t>
  </si>
  <si>
    <t>Perdiem Vacinadores Bajocunda</t>
  </si>
  <si>
    <t>Perdiem Vacinadores Beli</t>
  </si>
  <si>
    <t>Perdiem Vacinadores Buruntuma</t>
  </si>
  <si>
    <t>Perdiem Vacinadores Canjadude</t>
  </si>
  <si>
    <t>Perdiem Vacinadores Canjufa</t>
  </si>
  <si>
    <t>Perdiem Vacinadores Canquelifa</t>
  </si>
  <si>
    <t>Perdiem Vacinadores Dara</t>
  </si>
  <si>
    <t>Perdiem Vacinadores Fasse</t>
  </si>
  <si>
    <t>Perdiem Vacinadores AS Gabu</t>
  </si>
  <si>
    <t>Perdiem Vacinadores AS Mafnco</t>
  </si>
  <si>
    <t>Perdiem Vacinadores AS Mansadjan</t>
  </si>
  <si>
    <t>Perdiem Vacinadores AS Paunca</t>
  </si>
  <si>
    <t>Perdiem Vacinadores AS Pirada</t>
  </si>
  <si>
    <t>Perdiem Vacinadores AS Pitche</t>
  </si>
  <si>
    <t>Perdiem Vacinadores AS Sonaco</t>
  </si>
  <si>
    <t>Perdiem Vacinadores AS Tumana</t>
  </si>
  <si>
    <t>Perdiem Voluntários Bajocunda</t>
  </si>
  <si>
    <t>Perdiem Voluntários Beli</t>
  </si>
  <si>
    <t>Perdiem Voluntários Buruntuma</t>
  </si>
  <si>
    <t>Perdiem Voluntários Canjadude</t>
  </si>
  <si>
    <t>Perdiem Voluntários Canjufa</t>
  </si>
  <si>
    <t>Perdiem Voluntários Canquelifa</t>
  </si>
  <si>
    <t>Perdiem Voluntários Cansissé</t>
  </si>
  <si>
    <t>Perdiem Voluntários Dara</t>
  </si>
  <si>
    <t>Perdiem Voluntários Fasse</t>
  </si>
  <si>
    <t>Perdiem Voluntários AS Gabu</t>
  </si>
  <si>
    <t>Perdiem Voluntários AS Lugadjole</t>
  </si>
  <si>
    <t>Perdiem RAS não residente Beli</t>
  </si>
  <si>
    <t>Perdiem RAS não residente Buruntuma</t>
  </si>
  <si>
    <t>Perdiem RAS não residente Canjadude</t>
  </si>
  <si>
    <t>Perdiem RAS não residente Canjufa</t>
  </si>
  <si>
    <t>Perdiem RAS não residente Canquelifa</t>
  </si>
  <si>
    <t>Perdiem RAS não residente Cansissé</t>
  </si>
  <si>
    <t>Perdiem RAS nao residente Dandum</t>
  </si>
  <si>
    <t>Perdiem RAS não residente Dara</t>
  </si>
  <si>
    <t>Perdiem RAS não residente Fasse</t>
  </si>
  <si>
    <t>Perdiem RAS não residente Lugadjole</t>
  </si>
  <si>
    <t>Perdiem RAS não residente Mafanco</t>
  </si>
  <si>
    <t>Perdiem RAS residente Gabu</t>
  </si>
  <si>
    <t>Perdiem RAS não residente Bajocunda</t>
  </si>
  <si>
    <t>Perdiem RAS não residente Mansadjan</t>
  </si>
  <si>
    <t>Perdiem RAS não residente Paunca</t>
  </si>
  <si>
    <t>Perdiem RAS não residente Pirada</t>
  </si>
  <si>
    <t>Perdiem RAS não residente Pitche</t>
  </si>
  <si>
    <t>Perdiem RAS não residente Sonaco</t>
  </si>
  <si>
    <t>Perdiem RAS não residente Tumana</t>
  </si>
  <si>
    <t>Perdiem de Animadores (ONG, ASC, OBC) AS Bajocunda</t>
  </si>
  <si>
    <t>Perdiem de Animadores (ONG, ASC, OBC) AS Beli</t>
  </si>
  <si>
    <t>Perdiem de Animadores (ONG, ASC, OBC) AS Buruntuma</t>
  </si>
  <si>
    <t>Perdiem de Animadores (ONG, ASC, OBC) AS Canjadude</t>
  </si>
  <si>
    <t>Perdiem de Animadores (ONG, ASC, OBC) AS Canjufa</t>
  </si>
  <si>
    <t>Perdiem de Animadores (ONG, ASC, OBC) AS Canquelifa</t>
  </si>
  <si>
    <t>Perdiem de Animadores (ONG, ASC, OBC) AS Cansissé</t>
  </si>
  <si>
    <t>Perdiem de Animadores (ONG, ASC, OBC) AS Dandum</t>
  </si>
  <si>
    <t>Perdiem de Animadores (ONG, ASC, OBC) AS Dara</t>
  </si>
  <si>
    <t>Perdiem de Animadores (ONG, ASC, OBC) AS Fassé</t>
  </si>
  <si>
    <t>Perdiem de Animadores (ONG, ASC, OBC) AS Gabu</t>
  </si>
  <si>
    <t>Perdiem de Animadores (ONG, ASC, OBC) AS Lugadjole</t>
  </si>
  <si>
    <t>Perdiem de Animadores (ONG, ASC, OBC) AS Mafanco</t>
  </si>
  <si>
    <t>Perdiem de Animadores (ONG, ASC, OBC) AS Mansadjan</t>
  </si>
  <si>
    <t>Perdiem de Animadores (ONG, ASC, OBC) AS Paunca</t>
  </si>
  <si>
    <t>Perdiem de Animadores (ONG, ASC, OBC) AS Pirada</t>
  </si>
  <si>
    <t>Perdiem de Animadores (ONG, ASC, OBC) AS Pitche</t>
  </si>
  <si>
    <t>Perdiem de Animadores (ONG, ASC, OBC) AS Sonaco</t>
  </si>
  <si>
    <t>Perdiem de Animadores (ONG, ASC, OBC) AS Tumana</t>
  </si>
  <si>
    <t>Sub-Total 1: Perdiem dos Atores (Vacinadores, Voluntários, Supervisores, Coordenadores, Gestores de Dados e outros)</t>
  </si>
  <si>
    <t>Perdiem Vacinadores AS Bara</t>
  </si>
  <si>
    <t>Perdiem Voluntários AS Bara</t>
  </si>
  <si>
    <t>Perdiem Gestores de casos de MAPI Á S (Busca ativa) AS Bara</t>
  </si>
  <si>
    <t>Perdiem Supervisores de proximidade AS Bara</t>
  </si>
  <si>
    <t>Perdiem Vacinadores AS Barro</t>
  </si>
  <si>
    <t>Perdiem Voluntários  AS Barro</t>
  </si>
  <si>
    <t>Perdiem Gestores de casos de MAPI Á S (Busca ativa) AS Barro</t>
  </si>
  <si>
    <t>Perdiem Supervisores de proximidade AS Barro</t>
  </si>
  <si>
    <t>Perdiem Vacinadores AS Batucar</t>
  </si>
  <si>
    <t>Perdiem Voluntários  AS Batucar</t>
  </si>
  <si>
    <t>Perdiem Gestores de casos de MAPI Á S (Busca ativa) AS Batucar</t>
  </si>
  <si>
    <t>Perdiem Supervisores de proximidade AS Batucar</t>
  </si>
  <si>
    <t>Perdiem Vacinadores AS Bigene</t>
  </si>
  <si>
    <t>Perdiem Voluntários AS Bigene</t>
  </si>
  <si>
    <t>Perdiem Gestores de casos de MAPI Á S (Busca ativa) AS Bigene</t>
  </si>
  <si>
    <t>Perdiem Supervisores de proximidade AS Bigene</t>
  </si>
  <si>
    <t>Perdiem Vacinadores AS Bula</t>
  </si>
  <si>
    <t>Perdiem Voluntários  AS Bula</t>
  </si>
  <si>
    <t>Perdiem Supervisores de proximidade AS Bula</t>
  </si>
  <si>
    <t>Perdiem Gestores de casos de MAPI Á S (Busca ativa) AS Bula</t>
  </si>
  <si>
    <t>Perdiem Vacinadores AS Cacheu</t>
  </si>
  <si>
    <t>Perdiem Voluntários  AS Cacheu</t>
  </si>
  <si>
    <t>Perdiem Gestores de casos de MAPI Á S (Busca ativa) AS Cacheu</t>
  </si>
  <si>
    <t>Perdiem Supervisores de proximidade AS Cacheu</t>
  </si>
  <si>
    <t>Perdiem Vacinadores Caió</t>
  </si>
  <si>
    <t>Perdiem Voluntários  Caió</t>
  </si>
  <si>
    <t>Perdiem Gestores de casos de MAPI Á S (Busca ativa) Caió</t>
  </si>
  <si>
    <t>Perdiem Supervisores de proximidade AS Caió</t>
  </si>
  <si>
    <t>Perdiem Vacinadores Calequisse</t>
  </si>
  <si>
    <t>Perdiem Voluntários  Calequisse</t>
  </si>
  <si>
    <t>Perdiem Gestores de casos de MAPI Á S (Busca ativa) Calequisse</t>
  </si>
  <si>
    <t>Perdiem Supervisores de proximidade AS Calequisse</t>
  </si>
  <si>
    <t>Perdiem Vacinadores AS Canchungo</t>
  </si>
  <si>
    <t>Perdiem Voluntários AS Canchungo</t>
  </si>
  <si>
    <t>Perdiem Gestores de casos de MAPI Á S (Busca ativa) AS Canchungo</t>
  </si>
  <si>
    <t>Perdiem Supervisores de proximidade AS Canchungo</t>
  </si>
  <si>
    <t>Perdiem Vacinadores  AS Carenque</t>
  </si>
  <si>
    <t>Perdiem Voluntários  AS Carenque</t>
  </si>
  <si>
    <t>Perdiem Gestores de casos de MAPI Á S (Busca ativa) AS Carenque</t>
  </si>
  <si>
    <t>Perdiem Supervisores de proximidade AS Carenque</t>
  </si>
  <si>
    <t>Perdiem Vacinadores  AS Có</t>
  </si>
  <si>
    <t>Perdiem Voluntários  AS Có</t>
  </si>
  <si>
    <t>Perdiem Gestores de casos de MAPI Á S (Busca ativa) AS Có</t>
  </si>
  <si>
    <t>Perdiem Supervisores de proximidade AS Có</t>
  </si>
  <si>
    <t>Perdiem Vacinadores AS Ingoré</t>
  </si>
  <si>
    <t>Perdiem Voluntários  AS Ingoré</t>
  </si>
  <si>
    <t>Perdiem Gestores de casos de MAPI Á S (Busca ativa) AS Ingoré</t>
  </si>
  <si>
    <t>Perdiem Supervisores de proximidade AS Ingoré</t>
  </si>
  <si>
    <t>Perdiem Vacinadores AS Jeta</t>
  </si>
  <si>
    <t>Perdiem Voluntários AS Jeta</t>
  </si>
  <si>
    <t>Perdiem Gestores de casos de MAPI Á S (Busca ativa) AS Jeta</t>
  </si>
  <si>
    <t>Perdiem Supervisores de proximidade AS Jeta</t>
  </si>
  <si>
    <t>Perdiem Vacinadores  AS Pecixe</t>
  </si>
  <si>
    <t>Perdiem Voluntários AS Pecixe</t>
  </si>
  <si>
    <t>Perdiem Gestores de casos de MAPI Á S (Busca ativa) AS Pecixe</t>
  </si>
  <si>
    <t>Perdiem Supervisores de proximidade AS Pecixe</t>
  </si>
  <si>
    <t>Perdiem Vacinadores  AS Pelundo</t>
  </si>
  <si>
    <t>Perdiem Voluntários AS Pelundo</t>
  </si>
  <si>
    <t>Perdiem Gestores de casos de MAPI Á S (Busca ativa) AS Pelundo</t>
  </si>
  <si>
    <t>Perdiem Supervisores de proximidade AS Pelundo</t>
  </si>
  <si>
    <t>Perdiem Vacinadores  AS São Domingos</t>
  </si>
  <si>
    <t>Perdiem Voluntários AS São Domingos</t>
  </si>
  <si>
    <t>Perdiem Gestores de casos de MAPI Á S (Busca ativa) AS São Domingos</t>
  </si>
  <si>
    <t>Perdiem Supervisores de proximidade AS São Domingos</t>
  </si>
  <si>
    <t>Perdiem Vacinadores  AS Sedengal</t>
  </si>
  <si>
    <t>Perdiem Voluntários AS Sedengal</t>
  </si>
  <si>
    <t>Perdiem Gestores de casos de MAPI Á S (Busca ativa) AS Sedengal</t>
  </si>
  <si>
    <t>Perdiem Supervisores de proximidade AS Sedengal</t>
  </si>
  <si>
    <t>Perdiem Vacinadores  AS Suzana</t>
  </si>
  <si>
    <t>Perdiem Voluntários AS Suzana</t>
  </si>
  <si>
    <t>Perdiem Gestores de casos de MAPI Á S (Busca ativa) AS Suzana</t>
  </si>
  <si>
    <t>Perdiem Supervisores de proximidade AS Suzana</t>
  </si>
  <si>
    <t>Perdiem Vacinadores  AS Varela</t>
  </si>
  <si>
    <t>Perdiem Voluntários AS Varela</t>
  </si>
  <si>
    <t>Perdiem Gestores de casos de MAPI Á S (Busca ativa) AS Varela</t>
  </si>
  <si>
    <t>Perdiem Supervisores de proximidade AS Varela</t>
  </si>
  <si>
    <t>Perdiem participantes não residentes supervisores proximidade AS Barro</t>
  </si>
  <si>
    <t>Perdiem participantes não residentes supervisores proximidade AS Batucar</t>
  </si>
  <si>
    <t>Perdiem participantes não residentes supervisores proximidade AS Bigene</t>
  </si>
  <si>
    <t>Perdiem participantes não residentes supervisores proximidade AS Bula</t>
  </si>
  <si>
    <t>Perdiem participantes não residentes supervisores proximidade AS Cacheu</t>
  </si>
  <si>
    <t>Perdiem participantes não residentes supervisores proximidade AS Caió</t>
  </si>
  <si>
    <t>Perdiem participantes não residentes supervisores proximidade AS Calequisse</t>
  </si>
  <si>
    <t>Perdiem participantes não residentes supervisores proximidade AS Carenque</t>
  </si>
  <si>
    <t>Perdiem participantes não residentes supervisores proximidade AS Có</t>
  </si>
  <si>
    <t>Perdiem participantes não residentes supervisores proximidade AS Ingoré</t>
  </si>
  <si>
    <t>Perdiem participantes não residentes supervisores proximidade AS Jeta</t>
  </si>
  <si>
    <t>Perdiem participantes não residentes supervisores proximidade AS Pecixe</t>
  </si>
  <si>
    <t>Perdiem participantes não residentes supervisores proximidade AS Pelundo</t>
  </si>
  <si>
    <t>Perdiem participantes não residentes supervisores proximidade AS São Domingos</t>
  </si>
  <si>
    <t>Perdiem participantes não residentes supervisores proximidade AS Sedengal</t>
  </si>
  <si>
    <t>Perdiem participantes não residentes supervisores proximidade AS Suzana</t>
  </si>
  <si>
    <t>Perdiem participantes não residentes supervisores proximidade AS Varela</t>
  </si>
  <si>
    <t>Perdiem Vacinadores Bara</t>
  </si>
  <si>
    <t>Perdiem Vacinadores Barro</t>
  </si>
  <si>
    <t>Perdiem Vacinadores Batucar</t>
  </si>
  <si>
    <t>Perdiem Vacinadores Bigene</t>
  </si>
  <si>
    <t>Perdiem Vacinadores Bula</t>
  </si>
  <si>
    <t>Perdiem Vacinadores Canchungo</t>
  </si>
  <si>
    <t>Perdiem Vacinadores Carenque</t>
  </si>
  <si>
    <t>Perdiem Vacinadores AS Có</t>
  </si>
  <si>
    <t>Perdiem Vacinadores AS Pecixe</t>
  </si>
  <si>
    <t>Perdiem Vacinadores AS Pelundo</t>
  </si>
  <si>
    <t>Perdiem Vacinadores AS São Domingos</t>
  </si>
  <si>
    <t>Perdiem Vacinadores AS Sedengal</t>
  </si>
  <si>
    <t>Perdiem Vacinadores AS Suzana</t>
  </si>
  <si>
    <t>Perdiem Vacinadores AS Varela</t>
  </si>
  <si>
    <t>Perdiem de Animadores (ONG, ASC, OBC) AS Batucar</t>
  </si>
  <si>
    <t>Perdiem de Animadores (ONG, ASC, OBC) AS Bigene</t>
  </si>
  <si>
    <t>Perdiem de Animadores (ONG, ASC, OBC) AS Bula</t>
  </si>
  <si>
    <t>Perdiem de Animadores (ONG, ASC, OBC) AS Cacheu</t>
  </si>
  <si>
    <t>Perdiem de Animadores (ONG, ASC, OBC) AS Caió</t>
  </si>
  <si>
    <t>Perdiem de Animadores (ONG, ASC, OBC) AS Calequisse</t>
  </si>
  <si>
    <t>Perdiem de Animadores (ONG, ASC, OBC) AS Canchungo</t>
  </si>
  <si>
    <t>Perdiem de Animadores (ONG, ASC, OBC) AS Carenque</t>
  </si>
  <si>
    <t>Perdiem de Animadores (ONG, ASC, OBC) AS  Có</t>
  </si>
  <si>
    <t>Perdiem de Animadores (ONG, ASC, OBC) AS Ingoré</t>
  </si>
  <si>
    <t>Perdiem de Animadores (ONG, ASC, OBC) AS Jeta</t>
  </si>
  <si>
    <t>Perdiem de Animadores (ONG, ASC, OBC) AS Pecixe</t>
  </si>
  <si>
    <t>Perdiem de Animadores (ONG, ASC, OBC) AS Pelundo</t>
  </si>
  <si>
    <t>Perdiem de Animadores (ONG, ASC, OBC) AS São Domingos</t>
  </si>
  <si>
    <t>Perdiem de Animadores (ONG, ASC, OBC) AS Sedengal</t>
  </si>
  <si>
    <t>Perdiem de Animadores (ONG, ASC, OBC) AS Suzana</t>
  </si>
  <si>
    <t>Perdiem de Animadores (ONG, ASC, OBC) AS Varela</t>
  </si>
  <si>
    <t>Perdiem RAS não residente Barro</t>
  </si>
  <si>
    <t>Perdiem RAS não residente Batucar</t>
  </si>
  <si>
    <t>Perdiem RAS não residente Bigene</t>
  </si>
  <si>
    <t>Perdiem RAS não residente Bula</t>
  </si>
  <si>
    <t>Perdiem RAS não residente Cacheu</t>
  </si>
  <si>
    <t>Perdiem RAS não residente Caió</t>
  </si>
  <si>
    <t>Perdiem RAS nao residente Calequisse</t>
  </si>
  <si>
    <t>Perdiem RAS não residente Carenque</t>
  </si>
  <si>
    <t>Perdiem RAS não residente Có</t>
  </si>
  <si>
    <t>Perdiem RAS não residente Ingoré</t>
  </si>
  <si>
    <t>Perdiem RAS não residente Jeta</t>
  </si>
  <si>
    <t>Perdiem RAS não residente Pecixe</t>
  </si>
  <si>
    <t>Perdiem RAS não residente Pelundo</t>
  </si>
  <si>
    <t>Perdiem RAS não residente São Domingos</t>
  </si>
  <si>
    <t>Perdiem RAS não residente Sedengal</t>
  </si>
  <si>
    <t>Perdiem RAS não residente Suzana</t>
  </si>
  <si>
    <t>Perdiem RAS não residente Varela</t>
  </si>
  <si>
    <t>Perdiem RAS residente Canchungo</t>
  </si>
  <si>
    <t>Perdiem RAS não residente Bara</t>
  </si>
  <si>
    <t>Perdiem Voluntários Bara</t>
  </si>
  <si>
    <t>Perdiem Voluntários Barro</t>
  </si>
  <si>
    <t>Perdiem Voluntários Batucar</t>
  </si>
  <si>
    <t>Perdiem Voluntários Bigene</t>
  </si>
  <si>
    <t>Perdiem Voluntários Bula</t>
  </si>
  <si>
    <t>Perdiem Voluntários Caió</t>
  </si>
  <si>
    <t>Perdiem Voluntários Calequisse</t>
  </si>
  <si>
    <t>Perdiem Voluntários Canchungo</t>
  </si>
  <si>
    <t>Perdiem Voluntários Carenque</t>
  </si>
  <si>
    <t>Perdiem Voluntários AS Có</t>
  </si>
  <si>
    <t>Perdiem Voluntários AS Ingoré</t>
  </si>
  <si>
    <t>Perdiem participantes residentes supervisores proximidade AS Canchungo</t>
  </si>
  <si>
    <t>Perdiem participantes não residentes supervisores proximidade AS Bara</t>
  </si>
  <si>
    <t>Bote</t>
  </si>
  <si>
    <t>Transporte supervisores proximidade não residentes</t>
  </si>
  <si>
    <t>Perdiem participantes residentes supervisores proximidade AS Catió</t>
  </si>
  <si>
    <t>Perdiem participantes não residentes supervisores proximidade AS Bedanda</t>
  </si>
  <si>
    <t xml:space="preserve">Transporte Facilitadores Nível Central </t>
  </si>
  <si>
    <t xml:space="preserve">Perdiem Facilitadres nível Central </t>
  </si>
  <si>
    <t>Bilhete</t>
  </si>
  <si>
    <t>Atividade 7: Funcionamento do Comité e de Subs-Comité Nível Central</t>
  </si>
  <si>
    <t>XOF</t>
  </si>
  <si>
    <t xml:space="preserve">Número de equipas de vacinação </t>
  </si>
  <si>
    <t>Supervisores  proximidade</t>
  </si>
  <si>
    <t>Supervisores regionais</t>
  </si>
  <si>
    <t>120/D/Eq</t>
  </si>
  <si>
    <t>Aluguer motorizadas para vacinadores</t>
  </si>
  <si>
    <t>Combustível para vacinadores</t>
  </si>
  <si>
    <t>Aluguer motorizadas para supervisores de proximidade</t>
  </si>
  <si>
    <t>Combustível para supervisores de proximidade</t>
  </si>
  <si>
    <t>Aluguer de viaturas para supervisores regionais</t>
  </si>
  <si>
    <t>Combustível para supervisores regionais</t>
  </si>
  <si>
    <t>Aluguer de bote para supervisores regionais</t>
  </si>
  <si>
    <t>Óleo Oceano 2T</t>
  </si>
  <si>
    <t>Óleo</t>
  </si>
  <si>
    <t>Pirogue</t>
  </si>
  <si>
    <t>Travessia Tchetche (RS Gabu)</t>
  </si>
  <si>
    <t xml:space="preserve">Achat coton (rouleau de 500g) </t>
  </si>
  <si>
    <t>Rouleau</t>
  </si>
  <si>
    <t>Congelateur</t>
  </si>
  <si>
    <t xml:space="preserve">Perdiem Participantes Nível Central </t>
  </si>
  <si>
    <t xml:space="preserve">Carburant pour Transport Superviseurs non residents </t>
  </si>
  <si>
    <t>Carburant Transport RAS non residents</t>
  </si>
  <si>
    <t>Sub-Total formacao supervisores</t>
  </si>
  <si>
    <t>Sub-Total formacao vacinadores</t>
  </si>
  <si>
    <t>Sub-Total formacao animadores</t>
  </si>
  <si>
    <t>Atividade 6. Supervisão Nivel Central</t>
  </si>
  <si>
    <t>Sub-Total 6:  Supervisão Nivel Central</t>
  </si>
  <si>
    <t>Sub-Total 7: Funcionamento do Comité e de Subs-Comité Nível Central</t>
  </si>
  <si>
    <t>Atividade 8:  Mission de Evaluation D´Etat de CDF, Logistique Roulant</t>
  </si>
  <si>
    <t>Sub-Total 8: Mission de Evaluation D´Etat de CDF, Logistique Roulant</t>
  </si>
  <si>
    <t>Atividade 9: Distribuitions des Vaccins et   Consommsbles</t>
  </si>
  <si>
    <t>Sub-Total 9:Custo Distribuitions des Vaccins et Consommsbles</t>
  </si>
  <si>
    <t xml:space="preserve">Atividade 10: Moyens de Transport et Autres Frais </t>
  </si>
  <si>
    <t>Sub-Total  11: Custo Formation des Formateurs</t>
  </si>
  <si>
    <t>Atividade 12: Evaluation National</t>
  </si>
  <si>
    <t>Atividade 14: Mobilização social</t>
  </si>
  <si>
    <t>Sub-Total  14: Custo Mobilização social</t>
  </si>
  <si>
    <t>Sub-Total Collecte des decheets des regions vers Bissau au point d incineration</t>
  </si>
  <si>
    <t>Atividade 15.2: Traitement des dechets a l incinerateur</t>
  </si>
  <si>
    <t>Sub-Total  15: Custo Gestion des Dechets</t>
  </si>
  <si>
    <t>Atividade 16: MAPI</t>
  </si>
  <si>
    <t>Sub-Total 16: Custo MAPI</t>
  </si>
  <si>
    <t>TOTAL NÍVEL CENTRAL</t>
  </si>
  <si>
    <t xml:space="preserve">Verificado por: </t>
  </si>
  <si>
    <t>Região Tombali</t>
  </si>
  <si>
    <t>Data de Submissao: 29/08/2024</t>
  </si>
  <si>
    <t>Combustivel para a coordenação regional</t>
  </si>
  <si>
    <t>Perdiem Supervisores de proximidade dos ASC (SOT) AS Bafata</t>
  </si>
  <si>
    <t>Perdiem Supervisores de proximidade dos ASC (SOT) AS Bambadinca</t>
  </si>
  <si>
    <t>Perdiem Supervisores de proximidade dos ASC (SOT) AS Cambadju</t>
  </si>
  <si>
    <t>Perdiem Supervisores de proximidade dos ASC (SOT)</t>
  </si>
  <si>
    <t>Perdiem do logistico regional</t>
  </si>
  <si>
    <t>Perdiem Pessoal de apoio</t>
  </si>
  <si>
    <t>Pausa cafe</t>
  </si>
  <si>
    <t>Perdiem Supervisores de proximidade para ASC (SOT) AS Bubaque</t>
  </si>
  <si>
    <t xml:space="preserve">Perdiem Supervisores de proximidade para ASC (SOT) </t>
  </si>
  <si>
    <t>Titulo de Atividade:  Campanha de Vacinação contra sarampo e rubeola</t>
  </si>
  <si>
    <t>Perdiem Supervisores de proximidade para ASC (SOT)</t>
  </si>
  <si>
    <t>Combustivel para os Supervisores SOT</t>
  </si>
  <si>
    <t>Combustível para supervisores dos ASC (SOT)</t>
  </si>
  <si>
    <t>Gasólina</t>
  </si>
  <si>
    <t>Combustível para supervisores Nivel Central e Regional</t>
  </si>
  <si>
    <t>Combustivel Coordinação regional</t>
  </si>
  <si>
    <t>Grupo Electronico para a gestão de dados</t>
  </si>
  <si>
    <t xml:space="preserve">Compra de algodão (rouleau de 500g) </t>
  </si>
  <si>
    <t>Congeladores</t>
  </si>
  <si>
    <t>Piroga</t>
  </si>
  <si>
    <t>Rolo</t>
  </si>
  <si>
    <t>POPULAÇÃO POR AREAS SANITARIAS 2024</t>
  </si>
  <si>
    <t>Alvo a vacinar por estratégia de vacinação (41,7%) pop total</t>
  </si>
  <si>
    <t>Perdiem Formador Regional</t>
  </si>
  <si>
    <t>Perdiem Formadores Regionais  Bolama</t>
  </si>
  <si>
    <t xml:space="preserve">Perdiem Formadores Regionais </t>
  </si>
  <si>
    <t>Perdiem Formadores Regionais</t>
  </si>
  <si>
    <t>Combustivel para gerador DRS</t>
  </si>
  <si>
    <t>Combustivel Coordination regionale</t>
  </si>
  <si>
    <t>Perdiem dos sensibilizadores</t>
  </si>
  <si>
    <t>Perdiem dos Sensibilizadores</t>
  </si>
  <si>
    <t>Perdiem dos Sensibilizadorees</t>
  </si>
  <si>
    <t>Perdiem de Animadores (ONG, ASC, OBC) AS  Binar</t>
  </si>
  <si>
    <t>Perdiem de Animadores (ONG, ASC, OBC) AS Bissorã</t>
  </si>
  <si>
    <t>Perdiem de Animadores (ONG, ASC, OBC) AS Encheia</t>
  </si>
  <si>
    <t>Perdiem de Animadores (ONG, ASC, OBC) AS Gã Mamudo</t>
  </si>
  <si>
    <t>Perdiem de Animadores (ONG, ASC, OBC) AS Mansaba</t>
  </si>
  <si>
    <t>Perdiem de Animadores (ONG, ASC, OBC) AS Mansoa</t>
  </si>
  <si>
    <t>Perdiem de Animadores (ONG, ASC, OBC) AS Mores</t>
  </si>
  <si>
    <t>Perdiem de Animadores (ONG, ASC, OBC) AS Nhacra</t>
  </si>
  <si>
    <t>Perdiem de Animadores (ONG, ASC, OBC) AS Olossato</t>
  </si>
  <si>
    <t>Perdiem de Animadores (ONG, ASC, OBC) Portugole</t>
  </si>
  <si>
    <t>Perdiem de Animadores (ONG, ASC, OBC) AS Quelele</t>
  </si>
  <si>
    <t>Perdiem de Animadores (ONG, ASC, OBC) AS Santa Luzia</t>
  </si>
  <si>
    <t>Perdiem de Animadores (ONG, ASC, OBC) AS Sintra Nema</t>
  </si>
  <si>
    <t>Atividade 5: Logistica</t>
  </si>
  <si>
    <t>Atividade 5.1: Distribuição das vacinas e insumos</t>
  </si>
  <si>
    <t>Perdiem de Motorista regional</t>
  </si>
  <si>
    <t>Perdiem de logisticos Regional</t>
  </si>
  <si>
    <t>Location Pirogue (Canefaque)</t>
  </si>
  <si>
    <t>Location Pirogue (Ilheu de Melo)</t>
  </si>
  <si>
    <t>Location Pirogue ()</t>
  </si>
  <si>
    <t>Atividade 5.2: REUNIÃO DE ADVOCACIA</t>
  </si>
  <si>
    <t>Perdiem dos Participantes</t>
  </si>
  <si>
    <t>Atividade 5.2: REUNIÃO DA ADVOCACIA</t>
  </si>
  <si>
    <t>Atividade 5.3: RECOLHA DOS LIXOS DA CAMPANHA DAS ÁREAS SANITARIAS PARA DRS</t>
  </si>
  <si>
    <t>Combustivel de recolha</t>
  </si>
  <si>
    <t>Location Pirogue (Ilheu do Rei)</t>
  </si>
  <si>
    <t>Location Pirogue ( )</t>
  </si>
  <si>
    <t>Perdiem Motorista Regional</t>
  </si>
  <si>
    <t>Perdiem dos manipuladores</t>
  </si>
  <si>
    <t>Atividade 5.4: INCINERAÇÃO E TRATAMENTO DOS LIXOS</t>
  </si>
  <si>
    <t>SUB TOTAL</t>
  </si>
  <si>
    <t xml:space="preserve">Sub-Total : </t>
  </si>
  <si>
    <t>Sub Total</t>
  </si>
  <si>
    <t>Titulo de Atividade:  Campanha de Vacinação contra Sarampo e Rubeola</t>
  </si>
  <si>
    <t xml:space="preserve">Perdiem dos supervisores do nivel central </t>
  </si>
  <si>
    <t>Perdiem dos Motorista dos Supervisores do Nivel Central</t>
  </si>
  <si>
    <t>Perdiem dos supervisores do nivel central pra Bijagos</t>
  </si>
  <si>
    <t>Transporte dos Supervisore do Nivel Centra para  Bijagós</t>
  </si>
  <si>
    <t xml:space="preserve">Combustivel 2 circuitos para supervisores do Nivel Central Bijagós (litres) </t>
  </si>
  <si>
    <t xml:space="preserve">Perdiem de logistico do Nivel Central (Bijagós) </t>
  </si>
  <si>
    <t xml:space="preserve">Transporte de  logistico do nivel central (Bijagós) </t>
  </si>
  <si>
    <t>Transporte das vacinas e consumiveis para Bijagós no barco</t>
  </si>
  <si>
    <t xml:space="preserve">Perdiem do  logistico do nivel central </t>
  </si>
  <si>
    <t xml:space="preserve">Perdiem dos Motoristas do nivel central </t>
  </si>
  <si>
    <t>Pagamento de portagem de camiões</t>
  </si>
  <si>
    <t>Aluguer das viaturas para 9 Regiões</t>
  </si>
  <si>
    <t>Nomber des chauffeurs régionaux (Oio, Biombo e Cacheu )</t>
  </si>
  <si>
    <t>Chauffeurs régionaux (Bafata, Bolama, Tombali, Quinara, Farim et Gabu)</t>
  </si>
  <si>
    <t>Nomber des participants régionaux  (Oio, Biombo e Cacheu )</t>
  </si>
  <si>
    <t>Nomber des participants régionaux  ( Bafata, Bolama, Tombali, Quinara, Farim et Gabu)</t>
  </si>
  <si>
    <t>Perdiem dos Coordenadores da campanha</t>
  </si>
  <si>
    <t xml:space="preserve">Perdiem participantes  SAB </t>
  </si>
  <si>
    <t>Perdiem participantes Supervisores Nivel central</t>
  </si>
  <si>
    <t>participantes na reuni\ao de Comite Técnico de Vacinação</t>
  </si>
  <si>
    <t>SuB TOTAL</t>
  </si>
  <si>
    <t>Sub TOTAL</t>
  </si>
  <si>
    <t>SUb TOTAL</t>
  </si>
  <si>
    <t>Atividade 5.3: Lancemento regional da campanha</t>
  </si>
  <si>
    <t>Atividade 5.4: RECOLHA DOS LIXOS DA CAMPANHA DAS ÁREAS SANITARIAS PARA DRS</t>
  </si>
  <si>
    <t>Aluguer de Pirogas Área Sanitária de Formosa (Nago e Tchedea)</t>
  </si>
  <si>
    <t>Aluguer de Pirogas Área sanitária de caravela(Carache e Ilheu de porco)</t>
  </si>
  <si>
    <t>Aluguer de Pirogas Orangozinho (Wassa e wite)</t>
  </si>
  <si>
    <t>Aluguer de Pirogas Area sanitaria de Bubaque (Amupa e Meneque)</t>
  </si>
  <si>
    <t>Aluguer de Pirogas Area sanitaria Canogo (Amupa e Meneque)</t>
  </si>
  <si>
    <t>Regiões Sanitarias</t>
  </si>
  <si>
    <t>Biombo</t>
  </si>
  <si>
    <t>Nº</t>
  </si>
  <si>
    <t>Nivel Central</t>
  </si>
  <si>
    <t>Ficha de marcação</t>
  </si>
  <si>
    <t>Ficha Sintese dos Supervisores das Areas Sanitárias</t>
  </si>
  <si>
    <t>Ficha Sintese dos Coordenadores Regionais</t>
  </si>
  <si>
    <t>Cartão de vacinação</t>
  </si>
  <si>
    <t>Ficha de monitoramento domiciliario</t>
  </si>
  <si>
    <t>GAVI</t>
  </si>
  <si>
    <t>Governo</t>
  </si>
  <si>
    <t>Combustível para a vacinação das ilhas anexas</t>
  </si>
  <si>
    <t xml:space="preserve">Óleo 2T  </t>
  </si>
  <si>
    <t>Aluguer de motorizadas para supervisores SOT</t>
  </si>
  <si>
    <t>Aluguer motorizadas para Supervisores SOT</t>
  </si>
  <si>
    <t>Combustível para supervisores SOT</t>
  </si>
  <si>
    <t>Aluguer motorizadas para supervisores SOT</t>
  </si>
  <si>
    <t>Combustivel  Coordination regionale</t>
  </si>
  <si>
    <t>Aluguer de viaturas  para vacinadores</t>
  </si>
  <si>
    <t>Aluguer das viaturas para equipas de vacinação SAB</t>
  </si>
  <si>
    <t>Aluguer das viaturas para Supervisores Regional SAB</t>
  </si>
  <si>
    <t>Aluguer das viaturas para Supervisores do Nivel Central</t>
  </si>
  <si>
    <t xml:space="preserve">Combustivel dos Supervisores do Nivel central (em litros) </t>
  </si>
  <si>
    <t>Combustivel de Coordenação da Campanha</t>
  </si>
  <si>
    <t>Combustivel Comite Tecnico de vacinação</t>
  </si>
  <si>
    <t>Combustivel Coordenação de MAPI</t>
  </si>
  <si>
    <t>Combustivel Coordenação de comunicação</t>
  </si>
  <si>
    <t>Combustivel Coordenação de logistica</t>
  </si>
  <si>
    <t>Travessia Tchetche, Lugadjol e Dandum (RS Gabu)</t>
  </si>
  <si>
    <t>Aluguer de piroga para supervisores regionais</t>
  </si>
  <si>
    <t>Location Pirogue (Jeta, Ponton et Pecixe)</t>
  </si>
  <si>
    <t>Perdiem dos membros de comite Técnico de Vacinação (CTV)</t>
  </si>
  <si>
    <t>Perdiem dos Coordenadores de Campanha</t>
  </si>
  <si>
    <t>Perdiem dos membros da sub comite de Coordenação CTV</t>
  </si>
  <si>
    <t>Perdiem dos coordenadores da comunicação</t>
  </si>
  <si>
    <t>Perdiem dos coordenação da logistica</t>
  </si>
  <si>
    <t>Perdiem do Tecnico Informatico</t>
  </si>
  <si>
    <t>Perdiem do técnico do Gerador</t>
  </si>
  <si>
    <t xml:space="preserve">Perdiem dos coordenadores do MAPI </t>
  </si>
  <si>
    <t>Perdiem dos Gestores de dados</t>
  </si>
  <si>
    <t>Perdiem participantes residentes Ponto Focal Regional MAPI</t>
  </si>
  <si>
    <t>Perdiem participantes residentes ponto Focal de PAV Logistico</t>
  </si>
  <si>
    <t>Perdiem dos marinheiros</t>
  </si>
  <si>
    <t>Sessões de Discusão com Associação das mulheres jovens</t>
  </si>
  <si>
    <t>Sessões</t>
  </si>
  <si>
    <t>Sessão</t>
  </si>
  <si>
    <t>Total Geral</t>
  </si>
  <si>
    <t>Aluguer das viaturas para Coordenação do Nivel Central</t>
  </si>
  <si>
    <t>Viaturas</t>
  </si>
  <si>
    <t xml:space="preserve">Travessia  Farim do Supervisor do Nivel central </t>
  </si>
  <si>
    <t>Transporte dos participantes de Bijagos</t>
  </si>
  <si>
    <t>Aluguer da Sala</t>
  </si>
  <si>
    <t>Atividade 15: Lançamento Oficial da Campanha Nivel Central</t>
  </si>
  <si>
    <t>Contratação de um grupo de teatro</t>
  </si>
  <si>
    <t>Materiais</t>
  </si>
  <si>
    <t>Grupo</t>
  </si>
  <si>
    <t>Aluguer de tendas</t>
  </si>
  <si>
    <t>Tendas</t>
  </si>
  <si>
    <t>Aluguer de Cadeiras</t>
  </si>
  <si>
    <t>Cadeiras</t>
  </si>
  <si>
    <t>Baner</t>
  </si>
  <si>
    <t>Frasco</t>
  </si>
  <si>
    <t>Poster</t>
  </si>
  <si>
    <t>Compra de megafone</t>
  </si>
  <si>
    <t>Compra de pilhas para megafones</t>
  </si>
  <si>
    <t>Difusão de spots na televisão</t>
  </si>
  <si>
    <t>Difusão de spots na radio comunitarias</t>
  </si>
  <si>
    <t>Difusão de spots na radio nacional</t>
  </si>
  <si>
    <t>Televisão</t>
  </si>
  <si>
    <t>Radios</t>
  </si>
  <si>
    <t>Atividade 8: Atelier de Adaptação dos Modulos de Formação</t>
  </si>
  <si>
    <t>Pausa Café dos participantes</t>
  </si>
  <si>
    <t>Combustivel de camião</t>
  </si>
  <si>
    <t>Combustivel para a distribuição das vacinas e consumiveis(Carinhas frigorificos)</t>
  </si>
  <si>
    <t>Coodenadores da Campanha</t>
  </si>
  <si>
    <t>Supervisores Nivel Central</t>
  </si>
  <si>
    <t>Motoristas de Coordenação</t>
  </si>
  <si>
    <t>Gestores de Dados Nivel Central</t>
  </si>
  <si>
    <t>Logisticos Nivel Central</t>
  </si>
  <si>
    <t>DSIVE (Nivel Central)</t>
  </si>
  <si>
    <r>
      <t xml:space="preserve">Atividade 5.1: Formação dos animadores (ONG, ASC, OBC) </t>
    </r>
    <r>
      <rPr>
        <b/>
        <sz val="14"/>
        <color theme="1"/>
        <rFont val="Arial"/>
        <family val="2"/>
      </rPr>
      <t>SENSIBILIZADORES</t>
    </r>
  </si>
  <si>
    <t>Assistente Administradores Nivel Central</t>
  </si>
  <si>
    <t xml:space="preserve">Perdiem motoristas supervisores regionais </t>
  </si>
  <si>
    <t>Perdiem motoristas Supervisão regionais Tombali</t>
  </si>
  <si>
    <t>Perdiem motoristas supervisão regional Biombo</t>
  </si>
  <si>
    <t>Voluntarios</t>
  </si>
  <si>
    <t>Sensibilizadores</t>
  </si>
  <si>
    <t>Supervisores SOT</t>
  </si>
  <si>
    <t>Supervisores de Proximidades</t>
  </si>
  <si>
    <t>Periodo:  Setembro/2024</t>
  </si>
  <si>
    <t>Periodo: Setembro/2024</t>
  </si>
  <si>
    <t>t</t>
  </si>
  <si>
    <t>DADOS DA POPULAÇÃO PARA OS CÁLCULOS DE MICROPLANO</t>
  </si>
  <si>
    <t>Motorizadas</t>
  </si>
  <si>
    <t>Credito</t>
  </si>
  <si>
    <t>Credito de Comunicação Nivel Regional (coordenadores 22 e Supervisores 38, , Administradores 11, Pontos focais de PAV 11, Pontos focais de MAPI 11)</t>
  </si>
  <si>
    <t>Creditos de comunicação( Supervisores Proximidades 164, Pontos focais de MAPI AS 117, SOT 117)</t>
  </si>
  <si>
    <t>Credito de Comunicação Nivel Central (Gestores de dados 3)</t>
  </si>
  <si>
    <t>Credito de Comunicação Nivel Regional ( Gestores de dados 11)</t>
  </si>
  <si>
    <t>Data:</t>
  </si>
  <si>
    <t>Bilhetes</t>
  </si>
  <si>
    <t>C. Total USD</t>
  </si>
  <si>
    <t>Rubrica</t>
  </si>
  <si>
    <t>Nº/Ord.</t>
  </si>
  <si>
    <t>Preparado pela: Direçao de Serviço de Imunização e Vigilância Epidemiológica</t>
  </si>
  <si>
    <t>Aprovado por: UNICEF</t>
  </si>
  <si>
    <t>Bissau, ___/___/2024</t>
  </si>
  <si>
    <t>Data: 12/09/2024</t>
  </si>
  <si>
    <t>Data de Submissao: 16/09/2024</t>
  </si>
  <si>
    <t>Nº/ Ord</t>
  </si>
  <si>
    <r>
      <t>Perdiem motoristas Coordenaç</t>
    </r>
    <r>
      <rPr>
        <sz val="11"/>
        <rFont val="Arial"/>
        <family val="2"/>
      </rPr>
      <t>ão de NR Bafata</t>
    </r>
  </si>
  <si>
    <r>
      <t>Perdiem participantes</t>
    </r>
    <r>
      <rPr>
        <sz val="11"/>
        <rFont val="Arial"/>
        <family val="2"/>
      </rPr>
      <t xml:space="preserve"> residentes supervisores proximidade AS Bafata</t>
    </r>
  </si>
  <si>
    <r>
      <t>Perdiem participantes</t>
    </r>
    <r>
      <rPr>
        <sz val="11"/>
        <rFont val="Arial"/>
        <family val="2"/>
      </rPr>
      <t xml:space="preserve"> não residentes supervisores proximidade AS Bambadinca</t>
    </r>
  </si>
  <si>
    <r>
      <t>Perdiem participantes</t>
    </r>
    <r>
      <rPr>
        <sz val="11"/>
        <rFont val="Arial"/>
        <family val="2"/>
      </rPr>
      <t xml:space="preserve"> não residentes supervisores proximidade AS Cambadju</t>
    </r>
  </si>
  <si>
    <r>
      <t>Perdiem participantes</t>
    </r>
    <r>
      <rPr>
        <sz val="11"/>
        <rFont val="Arial"/>
        <family val="2"/>
      </rPr>
      <t xml:space="preserve"> não residentes supervisores proximidade AS contuboel</t>
    </r>
  </si>
  <si>
    <r>
      <t>Perdiem participantes</t>
    </r>
    <r>
      <rPr>
        <sz val="11"/>
        <rFont val="Arial"/>
        <family val="2"/>
      </rPr>
      <t xml:space="preserve"> não residentes supervisores proximidade AS Cossé</t>
    </r>
  </si>
  <si>
    <r>
      <t>Perdiem participantes</t>
    </r>
    <r>
      <rPr>
        <sz val="11"/>
        <rFont val="Arial"/>
        <family val="2"/>
      </rPr>
      <t xml:space="preserve"> não residentes supervisores proximidade AS Fajonquito</t>
    </r>
  </si>
  <si>
    <r>
      <t>Perdiem participantes</t>
    </r>
    <r>
      <rPr>
        <sz val="11"/>
        <rFont val="Arial"/>
        <family val="2"/>
      </rPr>
      <t xml:space="preserve"> não residentes supervisores proximidade AS Ga-Carnes</t>
    </r>
  </si>
  <si>
    <r>
      <t>Perdiem participantes</t>
    </r>
    <r>
      <rPr>
        <sz val="11"/>
        <rFont val="Arial"/>
        <family val="2"/>
      </rPr>
      <t xml:space="preserve"> não residentes supervisores proximidade AS Ga-Mamudo</t>
    </r>
  </si>
  <si>
    <r>
      <t>Perdiem participantes</t>
    </r>
    <r>
      <rPr>
        <sz val="11"/>
        <rFont val="Arial"/>
        <family val="2"/>
      </rPr>
      <t xml:space="preserve"> não residentes supervisores proximidade AS Ga-Turé</t>
    </r>
  </si>
  <si>
    <r>
      <t>Perdiem participantes</t>
    </r>
    <r>
      <rPr>
        <sz val="11"/>
        <rFont val="Arial"/>
        <family val="2"/>
      </rPr>
      <t xml:space="preserve"> não residentes supervisores proximidade AS Geba</t>
    </r>
  </si>
  <si>
    <r>
      <t>Perdiem participantes</t>
    </r>
    <r>
      <rPr>
        <sz val="11"/>
        <rFont val="Arial"/>
        <family val="2"/>
      </rPr>
      <t xml:space="preserve"> não residentes supervisores proximidade AS Sare Bacar</t>
    </r>
  </si>
  <si>
    <r>
      <t>Perdiem participantes</t>
    </r>
    <r>
      <rPr>
        <sz val="11"/>
        <rFont val="Arial"/>
        <family val="2"/>
      </rPr>
      <t xml:space="preserve"> não residentes supervisores proximidade AS Tantam-Cossé</t>
    </r>
  </si>
  <si>
    <r>
      <t>Perdiem participantes</t>
    </r>
    <r>
      <rPr>
        <sz val="11"/>
        <rFont val="Arial"/>
        <family val="2"/>
      </rPr>
      <t xml:space="preserve"> não residentes supervisores proximidade AS Tendinto</t>
    </r>
  </si>
  <si>
    <r>
      <t>Perdiem participantes</t>
    </r>
    <r>
      <rPr>
        <sz val="11"/>
        <rFont val="Arial"/>
        <family val="2"/>
      </rPr>
      <t xml:space="preserve"> não residentes supervisores proximidade AS Xitole</t>
    </r>
  </si>
  <si>
    <r>
      <t>Perdiem Formador Regional</t>
    </r>
    <r>
      <rPr>
        <sz val="11"/>
        <rFont val="Arial"/>
        <family val="2"/>
      </rPr>
      <t xml:space="preserve"> Bafata</t>
    </r>
  </si>
  <si>
    <r>
      <t xml:space="preserve">Perdiem Facilitadres e motoristas nível Central </t>
    </r>
    <r>
      <rPr>
        <sz val="11"/>
        <rFont val="Arial"/>
        <family val="2"/>
      </rPr>
      <t>Bafata</t>
    </r>
  </si>
  <si>
    <r>
      <t xml:space="preserve">Perdiem pessoal de apoio </t>
    </r>
    <r>
      <rPr>
        <sz val="11"/>
        <rFont val="Arial"/>
        <family val="2"/>
      </rPr>
      <t>Bafata</t>
    </r>
  </si>
  <si>
    <r>
      <t xml:space="preserve">Pausa Café </t>
    </r>
    <r>
      <rPr>
        <sz val="11"/>
        <rFont val="Arial"/>
        <family val="2"/>
      </rPr>
      <t>Bafata</t>
    </r>
  </si>
  <si>
    <r>
      <t>Combustível Facilitadores Nível Central</t>
    </r>
    <r>
      <rPr>
        <sz val="11"/>
        <rFont val="Arial"/>
        <family val="2"/>
      </rPr>
      <t xml:space="preserve"> Bafata</t>
    </r>
  </si>
  <si>
    <t>Bissau, ____/____/2024</t>
  </si>
  <si>
    <t>BAF. GABU</t>
  </si>
  <si>
    <t>USD</t>
  </si>
  <si>
    <t>Manipuladores niveau central</t>
  </si>
  <si>
    <t>GOVERNO</t>
  </si>
  <si>
    <t>FCFA</t>
  </si>
  <si>
    <t xml:space="preserve">  </t>
  </si>
  <si>
    <t>Atividade 15.1: Recolha de lixo de regiões para Bissau no ponto de incineração</t>
  </si>
  <si>
    <t>Perdiem de Coordenação logistico Nivel Central</t>
  </si>
  <si>
    <t>Perdiem dos tecnicos do grupo eletrogenico Nivel Central</t>
  </si>
  <si>
    <t>Sub-Total 12: Custo Avaliação Nacional</t>
  </si>
  <si>
    <t xml:space="preserve">Atividade 13:Instrumentos de Gestão da Campanha, Entretien e Reparation des Consommables du Bureau </t>
  </si>
  <si>
    <t>Megafone</t>
  </si>
  <si>
    <t>Pilhas</t>
  </si>
  <si>
    <t>Motas</t>
  </si>
  <si>
    <t>Aluguer das motorizadas para sensibilização centros urbanas(sonorizadas)</t>
  </si>
  <si>
    <t>Cartazes</t>
  </si>
  <si>
    <t>Produção de  Cartazes</t>
  </si>
  <si>
    <t>Produção de Crachas para todas as categorias</t>
  </si>
  <si>
    <t>Compra de garrafas da agua</t>
  </si>
  <si>
    <t>Compra de materiais de comunicação e mobilização social (Banner)</t>
  </si>
  <si>
    <t>Produção de Rol-Up</t>
  </si>
  <si>
    <t>Rol-Up</t>
  </si>
  <si>
    <t>Ficha de Notificação de MAPI</t>
  </si>
  <si>
    <t>Formulario de Investigação</t>
  </si>
  <si>
    <t>Produção dos Manuais de Formação dos vacinadores</t>
  </si>
  <si>
    <t>Manuais</t>
  </si>
  <si>
    <t>crachas</t>
  </si>
  <si>
    <t>Perdiem de Motorista e Logistico central</t>
  </si>
  <si>
    <t>Aluguer de materiais sonoras, Mesas, cadeiras, Plataforma, Tendas</t>
  </si>
  <si>
    <t>Combustivel Nivel Central</t>
  </si>
  <si>
    <t xml:space="preserve">Perdiem dos participantes regionais (Oio, Biombo, Cacheu et Bafata) </t>
  </si>
  <si>
    <t>Perdiem dos participantes regionais  (Bolama, Tombali, Quinara, Farim et Gabu)</t>
  </si>
  <si>
    <t>Perdiem dos participantes regionais (Bijagos)</t>
  </si>
  <si>
    <t>Perdiem de participantes da DSIVE</t>
  </si>
  <si>
    <t xml:space="preserve">Perdiem dos participantes  Região SAB </t>
  </si>
  <si>
    <t xml:space="preserve">Perdiem dos Motoristas Regionais  (Oio, Biombo, Cacheu et Bafata) </t>
  </si>
  <si>
    <t xml:space="preserve">Perdiem dos Motoristas Regionais (Bolama, Tombali, Quinara, Farim et Gabu) </t>
  </si>
  <si>
    <t>Perdiem dos Motoristas  Membros do Comite Técnico</t>
  </si>
  <si>
    <t>Perdiem dos Motoristas Regionais SAB</t>
  </si>
  <si>
    <t>Perdiem dos Motoristas DSIVE</t>
  </si>
  <si>
    <t xml:space="preserve">Consultor International </t>
  </si>
  <si>
    <t>Transporte Participantes Bijagos</t>
  </si>
  <si>
    <t>Combustivel dos Veiculos Regionais</t>
  </si>
  <si>
    <t xml:space="preserve">Toner de Fotocopiador KIOCERA </t>
  </si>
  <si>
    <t>Toner de impressão HP LazerJet P3010</t>
  </si>
  <si>
    <t>Tambor  Fotocopiador Canon 2318</t>
  </si>
  <si>
    <t>Numero de Produção e difusão de Sketch na TGB para a Campanha</t>
  </si>
  <si>
    <t>Difusão dos conteudos sonoras sobre os paineis audiovisuais nas cidades</t>
  </si>
  <si>
    <t>Numero de difusões das mensagens e dos Spots nas Radios Comunitarios</t>
  </si>
  <si>
    <t>Numero de difusões das mensagens e dos Spots nas Radios Nacionais</t>
  </si>
  <si>
    <t>Produção de Banners parea Identificação dos Centros de Vacinação</t>
  </si>
  <si>
    <t>TAXA ADM</t>
  </si>
  <si>
    <t>TAXA DE LEVANT</t>
  </si>
  <si>
    <t>SUB TOTAL COMBUSTÍVEL NIVEL CENTRAL</t>
  </si>
  <si>
    <t>Carregamento e descarga das vacinas e consumiveis</t>
  </si>
  <si>
    <t>TOTAL A RECEBER</t>
  </si>
  <si>
    <t>Atividade 11: Formação dos Formadores</t>
  </si>
  <si>
    <t xml:space="preserve">Sub-Total  10: Custo Meios de Transporte e Autros custos </t>
  </si>
  <si>
    <t>Atividade 15: Gestão de lixos</t>
  </si>
  <si>
    <t xml:space="preserve">TOTAL GERAL NIVEL CENTRAL </t>
  </si>
  <si>
    <t>REGIÃO DE TOMBALI</t>
  </si>
  <si>
    <t xml:space="preserve">Combustivel Groupe Electrogène saisie de données </t>
  </si>
  <si>
    <t>TAXA LEVANTAMENTO</t>
  </si>
  <si>
    <t xml:space="preserve">TAXA ADM </t>
  </si>
  <si>
    <t>TAXA LEVANT</t>
  </si>
  <si>
    <t>Atividade 5.5: INCINERAÇÃO E TRATAMENTO DOS LIXOS</t>
  </si>
  <si>
    <t>Perdiem Formadores locais (SOT)</t>
  </si>
  <si>
    <t>Atividade 5.1: Formação dos animadores (ONG, ASC, OBC) SENSIBILIZADORES</t>
  </si>
  <si>
    <t>Perdiem de Contabilista</t>
  </si>
  <si>
    <t>Combustivel para a distribuição das vacinas (Carinhas frigorificos)</t>
  </si>
  <si>
    <t>Combustivel para distribuição de consumiveis camião</t>
  </si>
  <si>
    <t xml:space="preserve">Parceiros </t>
  </si>
  <si>
    <t xml:space="preserve">Resma de papel A4 (Caixa) </t>
  </si>
  <si>
    <t>Credito de Comunicação Nivel Central (coordenadores 15 e Supervisores 22)</t>
  </si>
  <si>
    <t xml:space="preserve">Pessoas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</si>
</sst>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 * #,##0.00_)\ &quot;€&quot;_ ;_ * \(#,##0.00\)\ &quot;€&quot;_ ;_ * &quot;-&quot;??_)\ &quot;€&quot;_ ;_ @_ "/>
    <numFmt numFmtId="167" formatCode="_ * #,##0.00_)_ ;_ * \(#,##0.00\)_ ;_ * &quot;-&quot;??_)_ ;_ @_ "/>
    <numFmt numFmtId="168" formatCode="_-* #,##0\ [$XOF]_-;\-* #,##0\ [$XOF]_-;_-* &quot;-&quot;\ [$XOF]_-;_-@_-"/>
    <numFmt numFmtId="169" formatCode="_-* #,##0\ _€_-;\-* #,##0\ _€_-;_-* &quot;-&quot;??\ _€_-;_-@_-"/>
    <numFmt numFmtId="170" formatCode="_(* #,##0_);_(* \(#,##0\);_(* &quot;-&quot;??_);_(@_)"/>
    <numFmt numFmtId="171" formatCode="_-* #,##0\ _C_F_A_-;\-* #,##0\ _C_F_A_-;_-* &quot;-&quot;\ _C_F_A_-;_-@_-"/>
    <numFmt numFmtId="172" formatCode="#,##0_ ;\-#,##0\ "/>
    <numFmt numFmtId="173" formatCode="_-* #,##0\ [$USD]_-;\-* #,##0\ [$USD]_-;_-* &quot;-&quot;\ [$USD]_-;_-@_-"/>
    <numFmt numFmtId="174" formatCode="_ * #,##0_)_ ;_ * \(#,##0\)_ ;_ * &quot;-&quot;??_)_ ;_ @_ "/>
  </numFmts>
  <fonts count="6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92D050"/>
      <name val="Arial"/>
      <family val="2"/>
    </font>
    <font>
      <sz val="11"/>
      <color rgb="FF00B0F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theme="4" tint="-0.249977111117893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6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20"/>
      <color rgb="FF000000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sz val="12"/>
      <color theme="1"/>
      <name val="Times New Roman"/>
      <family val="2"/>
    </font>
    <font>
      <b/>
      <i/>
      <u/>
      <sz val="14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name val="Arial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54F87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6" fillId="0" borderId="0"/>
    <xf numFmtId="43" fontId="5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1" fontId="5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830">
    <xf numFmtId="0" fontId="0" fillId="0" borderId="0" xfId="0"/>
    <xf numFmtId="0" fontId="4" fillId="2" borderId="0" xfId="4" applyFill="1" applyAlignment="1">
      <alignment vertical="center"/>
    </xf>
    <xf numFmtId="0" fontId="4" fillId="3" borderId="0" xfId="4" applyFill="1" applyAlignment="1">
      <alignment vertical="center"/>
    </xf>
    <xf numFmtId="168" fontId="6" fillId="4" borderId="1" xfId="1" applyNumberFormat="1" applyFont="1" applyFill="1" applyBorder="1" applyAlignment="1">
      <alignment vertical="center"/>
    </xf>
    <xf numFmtId="0" fontId="7" fillId="2" borderId="3" xfId="4" applyFont="1" applyFill="1" applyBorder="1" applyAlignment="1">
      <alignment horizontal="center" vertical="center"/>
    </xf>
    <xf numFmtId="0" fontId="4" fillId="3" borderId="1" xfId="4" applyFill="1" applyBorder="1" applyAlignment="1">
      <alignment horizontal="center" vertical="center" wrapText="1"/>
    </xf>
    <xf numFmtId="0" fontId="7" fillId="2" borderId="2" xfId="4" applyFont="1" applyFill="1" applyBorder="1" applyAlignment="1">
      <alignment vertical="center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4" fillId="3" borderId="6" xfId="4" applyFill="1" applyBorder="1" applyAlignment="1">
      <alignment vertical="center"/>
    </xf>
    <xf numFmtId="0" fontId="4" fillId="3" borderId="1" xfId="4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0" fontId="4" fillId="2" borderId="1" xfId="4" applyFill="1" applyBorder="1" applyAlignment="1">
      <alignment vertical="center"/>
    </xf>
    <xf numFmtId="0" fontId="7" fillId="5" borderId="1" xfId="4" applyFont="1" applyFill="1" applyBorder="1" applyAlignment="1">
      <alignment vertical="center"/>
    </xf>
    <xf numFmtId="0" fontId="7" fillId="5" borderId="1" xfId="4" applyFont="1" applyFill="1" applyBorder="1" applyAlignment="1">
      <alignment vertical="center" wrapText="1"/>
    </xf>
    <xf numFmtId="168" fontId="7" fillId="5" borderId="1" xfId="1" applyNumberFormat="1" applyFont="1" applyFill="1" applyBorder="1" applyAlignment="1">
      <alignment vertical="center"/>
    </xf>
    <xf numFmtId="0" fontId="14" fillId="2" borderId="1" xfId="4" applyFont="1" applyFill="1" applyBorder="1" applyAlignment="1">
      <alignment vertical="center"/>
    </xf>
    <xf numFmtId="0" fontId="15" fillId="2" borderId="1" xfId="4" applyFont="1" applyFill="1" applyBorder="1" applyAlignment="1">
      <alignment horizontal="left" vertical="center"/>
    </xf>
    <xf numFmtId="0" fontId="9" fillId="2" borderId="1" xfId="4" applyFont="1" applyFill="1" applyBorder="1" applyAlignment="1">
      <alignment vertical="center"/>
    </xf>
    <xf numFmtId="0" fontId="9" fillId="2" borderId="1" xfId="4" applyFont="1" applyFill="1" applyBorder="1" applyAlignment="1">
      <alignment vertical="center" wrapText="1"/>
    </xf>
    <xf numFmtId="168" fontId="9" fillId="2" borderId="1" xfId="4" applyNumberFormat="1" applyFont="1" applyFill="1" applyBorder="1" applyAlignment="1">
      <alignment vertical="center" wrapText="1"/>
    </xf>
    <xf numFmtId="0" fontId="14" fillId="8" borderId="1" xfId="4" applyFont="1" applyFill="1" applyBorder="1" applyAlignment="1">
      <alignment vertical="center"/>
    </xf>
    <xf numFmtId="0" fontId="9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/>
    </xf>
    <xf numFmtId="0" fontId="14" fillId="8" borderId="1" xfId="4" applyFont="1" applyFill="1" applyBorder="1" applyAlignment="1">
      <alignment vertical="center" wrapText="1"/>
    </xf>
    <xf numFmtId="0" fontId="14" fillId="8" borderId="8" xfId="4" applyFont="1" applyFill="1" applyBorder="1" applyAlignment="1">
      <alignment vertical="center"/>
    </xf>
    <xf numFmtId="168" fontId="9" fillId="2" borderId="1" xfId="1" applyNumberFormat="1" applyFont="1" applyFill="1" applyBorder="1" applyAlignment="1">
      <alignment vertical="center"/>
    </xf>
    <xf numFmtId="0" fontId="7" fillId="0" borderId="1" xfId="4" applyFont="1" applyBorder="1" applyAlignment="1">
      <alignment horizontal="center" vertical="center"/>
    </xf>
    <xf numFmtId="0" fontId="14" fillId="7" borderId="1" xfId="4" applyFont="1" applyFill="1" applyBorder="1" applyAlignment="1">
      <alignment vertical="center"/>
    </xf>
    <xf numFmtId="0" fontId="9" fillId="7" borderId="1" xfId="4" applyFont="1" applyFill="1" applyBorder="1" applyAlignment="1">
      <alignment vertical="center"/>
    </xf>
    <xf numFmtId="168" fontId="9" fillId="7" borderId="1" xfId="1" applyNumberFormat="1" applyFont="1" applyFill="1" applyBorder="1" applyAlignment="1">
      <alignment vertical="center"/>
    </xf>
    <xf numFmtId="0" fontId="9" fillId="9" borderId="1" xfId="4" applyFont="1" applyFill="1" applyBorder="1" applyAlignment="1">
      <alignment vertical="center" wrapText="1"/>
    </xf>
    <xf numFmtId="0" fontId="0" fillId="10" borderId="0" xfId="0" applyFill="1"/>
    <xf numFmtId="0" fontId="14" fillId="0" borderId="1" xfId="4" applyFont="1" applyBorder="1" applyAlignment="1">
      <alignment vertical="center"/>
    </xf>
    <xf numFmtId="0" fontId="14" fillId="0" borderId="1" xfId="4" applyFont="1" applyBorder="1" applyAlignment="1">
      <alignment vertical="center" wrapText="1"/>
    </xf>
    <xf numFmtId="0" fontId="7" fillId="2" borderId="1" xfId="4" applyFont="1" applyFill="1" applyBorder="1" applyAlignment="1">
      <alignment horizontal="left" vertical="center" wrapText="1"/>
    </xf>
    <xf numFmtId="0" fontId="9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168" fontId="9" fillId="0" borderId="0" xfId="1" applyNumberFormat="1" applyFont="1" applyFill="1" applyBorder="1" applyAlignment="1">
      <alignment vertical="center"/>
    </xf>
    <xf numFmtId="0" fontId="7" fillId="2" borderId="1" xfId="4" applyFont="1" applyFill="1" applyBorder="1" applyAlignment="1">
      <alignment horizontal="left" vertical="center"/>
    </xf>
    <xf numFmtId="0" fontId="9" fillId="9" borderId="0" xfId="4" applyFont="1" applyFill="1" applyAlignment="1">
      <alignment vertical="center" wrapText="1"/>
    </xf>
    <xf numFmtId="0" fontId="7" fillId="6" borderId="1" xfId="4" applyFont="1" applyFill="1" applyBorder="1" applyAlignment="1">
      <alignment vertical="center"/>
    </xf>
    <xf numFmtId="0" fontId="7" fillId="6" borderId="1" xfId="4" applyFont="1" applyFill="1" applyBorder="1" applyAlignment="1">
      <alignment vertical="center" wrapText="1"/>
    </xf>
    <xf numFmtId="0" fontId="9" fillId="6" borderId="1" xfId="4" applyFont="1" applyFill="1" applyBorder="1" applyAlignment="1">
      <alignment vertical="center"/>
    </xf>
    <xf numFmtId="168" fontId="9" fillId="6" borderId="1" xfId="1" applyNumberFormat="1" applyFont="1" applyFill="1" applyBorder="1" applyAlignment="1">
      <alignment vertical="center"/>
    </xf>
    <xf numFmtId="168" fontId="7" fillId="6" borderId="1" xfId="1" applyNumberFormat="1" applyFont="1" applyFill="1" applyBorder="1" applyAlignment="1">
      <alignment vertical="center"/>
    </xf>
    <xf numFmtId="0" fontId="0" fillId="2" borderId="0" xfId="0" applyFill="1"/>
    <xf numFmtId="0" fontId="16" fillId="0" borderId="0" xfId="0" applyFont="1"/>
    <xf numFmtId="0" fontId="7" fillId="2" borderId="1" xfId="4" applyFont="1" applyFill="1" applyBorder="1" applyAlignment="1">
      <alignment vertical="center" wrapText="1"/>
    </xf>
    <xf numFmtId="0" fontId="14" fillId="2" borderId="1" xfId="4" applyFont="1" applyFill="1" applyBorder="1" applyAlignment="1">
      <alignment vertical="center" wrapText="1"/>
    </xf>
    <xf numFmtId="0" fontId="14" fillId="2" borderId="2" xfId="4" applyFont="1" applyFill="1" applyBorder="1" applyAlignment="1">
      <alignment vertical="center"/>
    </xf>
    <xf numFmtId="0" fontId="7" fillId="2" borderId="3" xfId="4" applyFont="1" applyFill="1" applyBorder="1" applyAlignment="1">
      <alignment vertical="center" wrapText="1"/>
    </xf>
    <xf numFmtId="0" fontId="9" fillId="2" borderId="3" xfId="4" applyFont="1" applyFill="1" applyBorder="1" applyAlignment="1">
      <alignment vertical="center"/>
    </xf>
    <xf numFmtId="0" fontId="9" fillId="2" borderId="3" xfId="4" applyFont="1" applyFill="1" applyBorder="1" applyAlignment="1">
      <alignment vertical="center" wrapText="1"/>
    </xf>
    <xf numFmtId="168" fontId="9" fillId="2" borderId="3" xfId="4" applyNumberFormat="1" applyFont="1" applyFill="1" applyBorder="1" applyAlignment="1">
      <alignment vertical="center" wrapText="1"/>
    </xf>
    <xf numFmtId="168" fontId="9" fillId="2" borderId="4" xfId="4" applyNumberFormat="1" applyFont="1" applyFill="1" applyBorder="1" applyAlignment="1">
      <alignment vertical="center" wrapText="1"/>
    </xf>
    <xf numFmtId="0" fontId="14" fillId="2" borderId="7" xfId="4" applyFont="1" applyFill="1" applyBorder="1" applyAlignment="1">
      <alignment vertical="center"/>
    </xf>
    <xf numFmtId="0" fontId="14" fillId="2" borderId="7" xfId="4" applyFont="1" applyFill="1" applyBorder="1" applyAlignment="1">
      <alignment vertical="center" wrapText="1"/>
    </xf>
    <xf numFmtId="0" fontId="9" fillId="2" borderId="7" xfId="4" applyFont="1" applyFill="1" applyBorder="1" applyAlignment="1">
      <alignment vertical="center"/>
    </xf>
    <xf numFmtId="0" fontId="9" fillId="2" borderId="7" xfId="4" applyFont="1" applyFill="1" applyBorder="1" applyAlignment="1">
      <alignment vertical="center" wrapText="1"/>
    </xf>
    <xf numFmtId="168" fontId="9" fillId="2" borderId="7" xfId="2" applyNumberFormat="1" applyFont="1" applyFill="1" applyBorder="1" applyAlignment="1">
      <alignment horizontal="center" vertical="center" wrapText="1"/>
    </xf>
    <xf numFmtId="168" fontId="9" fillId="2" borderId="7" xfId="1" applyNumberFormat="1" applyFont="1" applyFill="1" applyBorder="1" applyAlignment="1">
      <alignment vertical="center"/>
    </xf>
    <xf numFmtId="169" fontId="9" fillId="2" borderId="1" xfId="4" applyNumberFormat="1" applyFont="1" applyFill="1" applyBorder="1" applyAlignment="1">
      <alignment vertical="center" wrapText="1"/>
    </xf>
    <xf numFmtId="168" fontId="9" fillId="2" borderId="1" xfId="2" applyNumberFormat="1" applyFont="1" applyFill="1" applyBorder="1" applyAlignment="1">
      <alignment horizontal="center" vertical="center" wrapText="1"/>
    </xf>
    <xf numFmtId="169" fontId="9" fillId="2" borderId="1" xfId="4" applyNumberFormat="1" applyFont="1" applyFill="1" applyBorder="1" applyAlignment="1">
      <alignment vertical="center"/>
    </xf>
    <xf numFmtId="0" fontId="7" fillId="2" borderId="1" xfId="4" applyFont="1" applyFill="1" applyBorder="1" applyAlignment="1">
      <alignment horizontal="center" vertical="center"/>
    </xf>
    <xf numFmtId="0" fontId="7" fillId="0" borderId="1" xfId="4" applyFont="1" applyBorder="1" applyAlignment="1">
      <alignment vertical="center" wrapText="1"/>
    </xf>
    <xf numFmtId="0" fontId="7" fillId="2" borderId="1" xfId="4" applyFont="1" applyFill="1" applyBorder="1" applyAlignment="1">
      <alignment vertical="center"/>
    </xf>
    <xf numFmtId="0" fontId="14" fillId="2" borderId="1" xfId="0" applyFont="1" applyFill="1" applyBorder="1"/>
    <xf numFmtId="168" fontId="14" fillId="2" borderId="1" xfId="0" applyNumberFormat="1" applyFont="1" applyFill="1" applyBorder="1"/>
    <xf numFmtId="0" fontId="14" fillId="0" borderId="1" xfId="0" applyFont="1" applyBorder="1"/>
    <xf numFmtId="0" fontId="9" fillId="2" borderId="9" xfId="4" applyFont="1" applyFill="1" applyBorder="1" applyAlignment="1">
      <alignment vertical="center"/>
    </xf>
    <xf numFmtId="0" fontId="14" fillId="2" borderId="10" xfId="0" applyFont="1" applyFill="1" applyBorder="1"/>
    <xf numFmtId="0" fontId="9" fillId="2" borderId="11" xfId="4" applyFont="1" applyFill="1" applyBorder="1" applyAlignment="1">
      <alignment vertical="center"/>
    </xf>
    <xf numFmtId="168" fontId="9" fillId="2" borderId="11" xfId="2" applyNumberFormat="1" applyFont="1" applyFill="1" applyBorder="1" applyAlignment="1">
      <alignment horizontal="center" vertical="center" wrapText="1"/>
    </xf>
    <xf numFmtId="168" fontId="9" fillId="2" borderId="6" xfId="1" applyNumberFormat="1" applyFont="1" applyFill="1" applyBorder="1" applyAlignment="1">
      <alignment vertical="center"/>
    </xf>
    <xf numFmtId="168" fontId="7" fillId="2" borderId="1" xfId="1" applyNumberFormat="1" applyFont="1" applyFill="1" applyBorder="1" applyAlignment="1">
      <alignment vertical="center"/>
    </xf>
    <xf numFmtId="0" fontId="7" fillId="2" borderId="9" xfId="4" applyFont="1" applyFill="1" applyBorder="1" applyAlignment="1">
      <alignment vertical="center" wrapText="1"/>
    </xf>
    <xf numFmtId="0" fontId="9" fillId="2" borderId="0" xfId="4" applyFont="1" applyFill="1" applyAlignment="1">
      <alignment vertical="center" wrapText="1"/>
    </xf>
    <xf numFmtId="0" fontId="14" fillId="2" borderId="0" xfId="0" applyFont="1" applyFill="1"/>
    <xf numFmtId="0" fontId="9" fillId="2" borderId="0" xfId="0" applyFont="1" applyFill="1"/>
    <xf numFmtId="0" fontId="14" fillId="2" borderId="11" xfId="0" applyFont="1" applyFill="1" applyBorder="1"/>
    <xf numFmtId="168" fontId="14" fillId="2" borderId="11" xfId="0" applyNumberFormat="1" applyFont="1" applyFill="1" applyBorder="1"/>
    <xf numFmtId="168" fontId="7" fillId="2" borderId="6" xfId="1" applyNumberFormat="1" applyFont="1" applyFill="1" applyBorder="1" applyAlignment="1">
      <alignment vertical="center"/>
    </xf>
    <xf numFmtId="168" fontId="7" fillId="0" borderId="1" xfId="1" applyNumberFormat="1" applyFont="1" applyFill="1" applyBorder="1" applyAlignment="1">
      <alignment vertical="center"/>
    </xf>
    <xf numFmtId="0" fontId="7" fillId="2" borderId="2" xfId="4" applyFont="1" applyFill="1" applyBorder="1" applyAlignment="1">
      <alignment horizontal="left" vertical="center" wrapText="1"/>
    </xf>
    <xf numFmtId="0" fontId="7" fillId="2" borderId="3" xfId="4" applyFont="1" applyFill="1" applyBorder="1" applyAlignment="1">
      <alignment horizontal="left" vertical="center" wrapText="1"/>
    </xf>
    <xf numFmtId="0" fontId="7" fillId="2" borderId="4" xfId="4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/>
    <xf numFmtId="0" fontId="9" fillId="0" borderId="0" xfId="0" applyFont="1"/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right"/>
    </xf>
    <xf numFmtId="170" fontId="9" fillId="0" borderId="7" xfId="1" applyNumberFormat="1" applyFont="1" applyBorder="1" applyAlignment="1">
      <alignment horizontal="right"/>
    </xf>
    <xf numFmtId="170" fontId="9" fillId="0" borderId="7" xfId="1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/>
    <xf numFmtId="170" fontId="9" fillId="0" borderId="1" xfId="1" applyNumberFormat="1" applyFont="1" applyBorder="1"/>
    <xf numFmtId="0" fontId="9" fillId="0" borderId="8" xfId="0" applyFont="1" applyBorder="1" applyAlignment="1">
      <alignment vertical="center" wrapText="1"/>
    </xf>
    <xf numFmtId="0" fontId="9" fillId="0" borderId="8" xfId="0" applyFont="1" applyBorder="1"/>
    <xf numFmtId="170" fontId="9" fillId="0" borderId="8" xfId="1" applyNumberFormat="1" applyFont="1" applyFill="1" applyBorder="1"/>
    <xf numFmtId="170" fontId="9" fillId="0" borderId="1" xfId="1" applyNumberFormat="1" applyFont="1" applyFill="1" applyBorder="1"/>
    <xf numFmtId="0" fontId="9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/>
    <xf numFmtId="170" fontId="9" fillId="2" borderId="1" xfId="1" applyNumberFormat="1" applyFont="1" applyFill="1" applyBorder="1"/>
    <xf numFmtId="0" fontId="18" fillId="0" borderId="0" xfId="0" applyFont="1"/>
    <xf numFmtId="0" fontId="9" fillId="0" borderId="1" xfId="0" applyFont="1" applyBorder="1" applyAlignment="1">
      <alignment horizontal="left" vertical="top" wrapText="1"/>
    </xf>
    <xf numFmtId="170" fontId="9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4" borderId="1" xfId="4" applyFont="1" applyFill="1" applyBorder="1" applyAlignment="1">
      <alignment vertical="center"/>
    </xf>
    <xf numFmtId="0" fontId="9" fillId="4" borderId="1" xfId="4" applyFont="1" applyFill="1" applyBorder="1" applyAlignment="1">
      <alignment vertical="center" wrapText="1"/>
    </xf>
    <xf numFmtId="0" fontId="9" fillId="4" borderId="1" xfId="4" applyFont="1" applyFill="1" applyBorder="1" applyAlignment="1">
      <alignment vertical="center"/>
    </xf>
    <xf numFmtId="0" fontId="14" fillId="4" borderId="1" xfId="0" applyFont="1" applyFill="1" applyBorder="1"/>
    <xf numFmtId="0" fontId="7" fillId="2" borderId="0" xfId="4" applyFont="1" applyFill="1" applyAlignment="1">
      <alignment vertical="center"/>
    </xf>
    <xf numFmtId="0" fontId="14" fillId="2" borderId="0" xfId="4" applyFont="1" applyFill="1" applyAlignment="1">
      <alignment vertical="center" wrapText="1"/>
    </xf>
    <xf numFmtId="0" fontId="14" fillId="2" borderId="0" xfId="4" applyFont="1" applyFill="1" applyAlignment="1">
      <alignment vertical="center"/>
    </xf>
    <xf numFmtId="49" fontId="19" fillId="2" borderId="0" xfId="1" applyNumberFormat="1" applyFont="1" applyFill="1" applyBorder="1" applyAlignment="1">
      <alignment vertical="center" wrapText="1"/>
    </xf>
    <xf numFmtId="0" fontId="10" fillId="2" borderId="0" xfId="0" applyFont="1" applyFill="1"/>
    <xf numFmtId="0" fontId="2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5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10" borderId="0" xfId="0" applyFont="1" applyFill="1" applyAlignment="1">
      <alignment horizontal="centerContinuous" vertical="center"/>
    </xf>
    <xf numFmtId="169" fontId="28" fillId="12" borderId="12" xfId="1" applyNumberFormat="1" applyFont="1" applyFill="1" applyBorder="1" applyAlignment="1">
      <alignment horizontal="center" vertical="center" wrapText="1"/>
    </xf>
    <xf numFmtId="169" fontId="26" fillId="12" borderId="7" xfId="1" applyNumberFormat="1" applyFont="1" applyFill="1" applyBorder="1" applyAlignment="1">
      <alignment vertical="center" wrapText="1"/>
    </xf>
    <xf numFmtId="169" fontId="26" fillId="12" borderId="21" xfId="1" applyNumberFormat="1" applyFont="1" applyFill="1" applyBorder="1" applyAlignment="1">
      <alignment vertical="center" wrapText="1"/>
    </xf>
    <xf numFmtId="169" fontId="26" fillId="12" borderId="22" xfId="1" applyNumberFormat="1" applyFont="1" applyFill="1" applyBorder="1" applyAlignment="1">
      <alignment horizontal="center" vertical="center" wrapText="1"/>
    </xf>
    <xf numFmtId="169" fontId="26" fillId="12" borderId="7" xfId="1" applyNumberFormat="1" applyFont="1" applyFill="1" applyBorder="1" applyAlignment="1">
      <alignment horizontal="center" vertical="center" wrapText="1"/>
    </xf>
    <xf numFmtId="169" fontId="26" fillId="12" borderId="19" xfId="1" applyNumberFormat="1" applyFont="1" applyFill="1" applyBorder="1" applyAlignment="1">
      <alignment horizontal="center" vertical="center" wrapText="1"/>
    </xf>
    <xf numFmtId="169" fontId="26" fillId="12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26" fillId="12" borderId="0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4" fillId="0" borderId="23" xfId="0" applyFont="1" applyBorder="1"/>
    <xf numFmtId="3" fontId="7" fillId="14" borderId="1" xfId="0" applyNumberFormat="1" applyFont="1" applyFill="1" applyBorder="1"/>
    <xf numFmtId="9" fontId="17" fillId="0" borderId="24" xfId="5" applyFont="1" applyBorder="1" applyAlignment="1" applyProtection="1">
      <alignment vertical="center"/>
      <protection locked="0"/>
    </xf>
    <xf numFmtId="3" fontId="12" fillId="14" borderId="7" xfId="0" applyNumberFormat="1" applyFont="1" applyFill="1" applyBorder="1"/>
    <xf numFmtId="3" fontId="29" fillId="0" borderId="1" xfId="0" applyNumberFormat="1" applyFont="1" applyBorder="1" applyAlignment="1">
      <alignment vertical="top"/>
    </xf>
    <xf numFmtId="3" fontId="29" fillId="0" borderId="9" xfId="0" applyNumberFormat="1" applyFont="1" applyBorder="1" applyAlignment="1">
      <alignment vertical="top"/>
    </xf>
    <xf numFmtId="3" fontId="30" fillId="15" borderId="25" xfId="0" applyNumberFormat="1" applyFont="1" applyFill="1" applyBorder="1" applyAlignment="1">
      <alignment vertical="top"/>
    </xf>
    <xf numFmtId="3" fontId="31" fillId="0" borderId="1" xfId="0" applyNumberFormat="1" applyFont="1" applyBorder="1" applyAlignment="1">
      <alignment vertical="top"/>
    </xf>
    <xf numFmtId="3" fontId="30" fillId="14" borderId="26" xfId="0" applyNumberFormat="1" applyFont="1" applyFill="1" applyBorder="1" applyAlignment="1">
      <alignment vertical="top"/>
    </xf>
    <xf numFmtId="0" fontId="14" fillId="0" borderId="1" xfId="0" applyFont="1" applyBorder="1" applyAlignment="1">
      <alignment vertical="top"/>
    </xf>
    <xf numFmtId="171" fontId="14" fillId="0" borderId="1" xfId="0" applyNumberFormat="1" applyFont="1" applyBorder="1" applyAlignment="1">
      <alignment vertical="top"/>
    </xf>
    <xf numFmtId="0" fontId="14" fillId="0" borderId="9" xfId="0" applyFont="1" applyBorder="1" applyAlignment="1">
      <alignment vertical="top"/>
    </xf>
    <xf numFmtId="0" fontId="30" fillId="16" borderId="27" xfId="0" applyFont="1" applyFill="1" applyBorder="1" applyAlignment="1">
      <alignment vertical="top"/>
    </xf>
    <xf numFmtId="171" fontId="14" fillId="17" borderId="1" xfId="0" applyNumberFormat="1" applyFont="1" applyFill="1" applyBorder="1" applyAlignment="1">
      <alignment vertical="top"/>
    </xf>
    <xf numFmtId="0" fontId="14" fillId="0" borderId="28" xfId="0" applyFont="1" applyBorder="1"/>
    <xf numFmtId="0" fontId="30" fillId="16" borderId="25" xfId="0" applyFont="1" applyFill="1" applyBorder="1" applyAlignment="1">
      <alignment vertical="top"/>
    </xf>
    <xf numFmtId="0" fontId="14" fillId="2" borderId="28" xfId="0" applyFont="1" applyFill="1" applyBorder="1"/>
    <xf numFmtId="171" fontId="14" fillId="15" borderId="1" xfId="0" applyNumberFormat="1" applyFont="1" applyFill="1" applyBorder="1" applyAlignment="1">
      <alignment vertical="top"/>
    </xf>
    <xf numFmtId="171" fontId="14" fillId="16" borderId="1" xfId="0" applyNumberFormat="1" applyFont="1" applyFill="1" applyBorder="1" applyAlignment="1">
      <alignment vertical="top"/>
    </xf>
    <xf numFmtId="171" fontId="14" fillId="18" borderId="1" xfId="0" applyNumberFormat="1" applyFont="1" applyFill="1" applyBorder="1" applyAlignment="1">
      <alignment vertical="top"/>
    </xf>
    <xf numFmtId="171" fontId="14" fillId="19" borderId="1" xfId="0" applyNumberFormat="1" applyFont="1" applyFill="1" applyBorder="1" applyAlignment="1">
      <alignment vertical="top"/>
    </xf>
    <xf numFmtId="9" fontId="17" fillId="0" borderId="0" xfId="0" applyNumberFormat="1" applyFont="1" applyAlignment="1">
      <alignment vertical="top"/>
    </xf>
    <xf numFmtId="171" fontId="14" fillId="20" borderId="1" xfId="0" applyNumberFormat="1" applyFont="1" applyFill="1" applyBorder="1" applyAlignment="1">
      <alignment vertical="top"/>
    </xf>
    <xf numFmtId="171" fontId="14" fillId="21" borderId="1" xfId="0" applyNumberFormat="1" applyFont="1" applyFill="1" applyBorder="1" applyAlignment="1">
      <alignment vertical="top"/>
    </xf>
    <xf numFmtId="171" fontId="14" fillId="7" borderId="1" xfId="0" applyNumberFormat="1" applyFont="1" applyFill="1" applyBorder="1" applyAlignment="1">
      <alignment vertical="top"/>
    </xf>
    <xf numFmtId="171" fontId="14" fillId="6" borderId="1" xfId="0" applyNumberFormat="1" applyFont="1" applyFill="1" applyBorder="1" applyAlignment="1">
      <alignment vertical="top"/>
    </xf>
    <xf numFmtId="0" fontId="14" fillId="0" borderId="29" xfId="0" applyFont="1" applyBorder="1" applyAlignment="1">
      <alignment vertical="top"/>
    </xf>
    <xf numFmtId="0" fontId="30" fillId="8" borderId="27" xfId="0" applyFont="1" applyFill="1" applyBorder="1" applyAlignment="1">
      <alignment vertical="top"/>
    </xf>
    <xf numFmtId="171" fontId="14" fillId="0" borderId="6" xfId="0" applyNumberFormat="1" applyFont="1" applyBorder="1" applyAlignment="1">
      <alignment vertical="top"/>
    </xf>
    <xf numFmtId="0" fontId="14" fillId="16" borderId="9" xfId="0" applyFont="1" applyFill="1" applyBorder="1" applyAlignment="1">
      <alignment vertical="top"/>
    </xf>
    <xf numFmtId="0" fontId="30" fillId="5" borderId="25" xfId="0" applyFont="1" applyFill="1" applyBorder="1" applyAlignment="1">
      <alignment vertical="top"/>
    </xf>
    <xf numFmtId="171" fontId="14" fillId="22" borderId="1" xfId="0" applyNumberFormat="1" applyFont="1" applyFill="1" applyBorder="1" applyAlignment="1">
      <alignment vertical="top"/>
    </xf>
    <xf numFmtId="0" fontId="30" fillId="8" borderId="25" xfId="0" applyFont="1" applyFill="1" applyBorder="1" applyAlignment="1">
      <alignment vertical="top"/>
    </xf>
    <xf numFmtId="0" fontId="30" fillId="8" borderId="30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171" fontId="14" fillId="10" borderId="1" xfId="0" applyNumberFormat="1" applyFont="1" applyFill="1" applyBorder="1" applyAlignment="1">
      <alignment vertical="top"/>
    </xf>
    <xf numFmtId="0" fontId="30" fillId="16" borderId="30" xfId="0" applyFont="1" applyFill="1" applyBorder="1" applyAlignment="1">
      <alignment vertical="top"/>
    </xf>
    <xf numFmtId="172" fontId="5" fillId="14" borderId="31" xfId="0" applyNumberFormat="1" applyFont="1" applyFill="1" applyBorder="1" applyAlignment="1">
      <alignment horizontal="left" vertical="center"/>
    </xf>
    <xf numFmtId="3" fontId="7" fillId="14" borderId="32" xfId="0" applyNumberFormat="1" applyFont="1" applyFill="1" applyBorder="1" applyAlignment="1">
      <alignment horizontal="right" vertical="center"/>
    </xf>
    <xf numFmtId="3" fontId="5" fillId="14" borderId="31" xfId="0" applyNumberFormat="1" applyFont="1" applyFill="1" applyBorder="1" applyAlignment="1">
      <alignment horizontal="right" vertical="center"/>
    </xf>
    <xf numFmtId="171" fontId="7" fillId="14" borderId="32" xfId="0" applyNumberFormat="1" applyFont="1" applyFill="1" applyBorder="1" applyAlignment="1">
      <alignment vertical="center"/>
    </xf>
    <xf numFmtId="3" fontId="7" fillId="14" borderId="31" xfId="0" applyNumberFormat="1" applyFont="1" applyFill="1" applyBorder="1" applyAlignment="1">
      <alignment vertical="center"/>
    </xf>
    <xf numFmtId="3" fontId="7" fillId="14" borderId="33" xfId="0" applyNumberFormat="1" applyFont="1" applyFill="1" applyBorder="1" applyAlignment="1">
      <alignment vertical="center"/>
    </xf>
    <xf numFmtId="3" fontId="7" fillId="14" borderId="12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32" fillId="23" borderId="1" xfId="0" applyFont="1" applyFill="1" applyBorder="1" applyAlignment="1">
      <alignment vertical="center"/>
    </xf>
    <xf numFmtId="0" fontId="32" fillId="23" borderId="6" xfId="0" applyFont="1" applyFill="1" applyBorder="1" applyAlignment="1">
      <alignment vertical="center" wrapText="1"/>
    </xf>
    <xf numFmtId="0" fontId="32" fillId="23" borderId="7" xfId="0" applyFont="1" applyFill="1" applyBorder="1" applyAlignment="1">
      <alignment vertical="center"/>
    </xf>
    <xf numFmtId="0" fontId="32" fillId="23" borderId="34" xfId="0" applyFont="1" applyFill="1" applyBorder="1" applyAlignment="1">
      <alignment vertical="center" wrapText="1"/>
    </xf>
    <xf numFmtId="0" fontId="33" fillId="9" borderId="37" xfId="0" applyFont="1" applyFill="1" applyBorder="1" applyAlignment="1">
      <alignment horizontal="center" vertical="center"/>
    </xf>
    <xf numFmtId="3" fontId="13" fillId="0" borderId="6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33" fillId="4" borderId="38" xfId="3" applyNumberFormat="1" applyFont="1" applyFill="1" applyBorder="1" applyAlignment="1">
      <alignment vertical="center"/>
    </xf>
    <xf numFmtId="3" fontId="33" fillId="4" borderId="36" xfId="3" applyNumberFormat="1" applyFont="1" applyFill="1" applyBorder="1" applyAlignment="1">
      <alignment vertical="center"/>
    </xf>
    <xf numFmtId="0" fontId="30" fillId="16" borderId="33" xfId="0" applyFont="1" applyFill="1" applyBorder="1" applyAlignment="1">
      <alignment horizontal="left" vertical="center"/>
    </xf>
    <xf numFmtId="171" fontId="33" fillId="16" borderId="40" xfId="0" applyNumberFormat="1" applyFont="1" applyFill="1" applyBorder="1" applyAlignment="1">
      <alignment vertical="center"/>
    </xf>
    <xf numFmtId="171" fontId="33" fillId="16" borderId="3" xfId="0" applyNumberFormat="1" applyFont="1" applyFill="1" applyBorder="1" applyAlignment="1">
      <alignment vertical="center"/>
    </xf>
    <xf numFmtId="171" fontId="33" fillId="16" borderId="4" xfId="0" applyNumberFormat="1" applyFont="1" applyFill="1" applyBorder="1" applyAlignment="1">
      <alignment vertical="center"/>
    </xf>
    <xf numFmtId="1" fontId="0" fillId="0" borderId="0" xfId="0" applyNumberFormat="1"/>
    <xf numFmtId="0" fontId="0" fillId="0" borderId="0" xfId="0" applyProtection="1">
      <protection locked="0"/>
    </xf>
    <xf numFmtId="0" fontId="7" fillId="2" borderId="41" xfId="4" applyFont="1" applyFill="1" applyBorder="1" applyAlignment="1">
      <alignment vertical="center"/>
    </xf>
    <xf numFmtId="0" fontId="7" fillId="2" borderId="8" xfId="4" applyFont="1" applyFill="1" applyBorder="1" applyAlignment="1">
      <alignment horizontal="center" vertical="center"/>
    </xf>
    <xf numFmtId="0" fontId="7" fillId="2" borderId="8" xfId="4" applyFont="1" applyFill="1" applyBorder="1" applyAlignment="1">
      <alignment horizontal="center" vertical="center" wrapText="1"/>
    </xf>
    <xf numFmtId="0" fontId="7" fillId="2" borderId="42" xfId="4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center"/>
    </xf>
    <xf numFmtId="0" fontId="15" fillId="5" borderId="1" xfId="4" applyFont="1" applyFill="1" applyBorder="1" applyAlignment="1">
      <alignment vertical="center" wrapText="1"/>
    </xf>
    <xf numFmtId="0" fontId="4" fillId="26" borderId="0" xfId="0" applyFont="1" applyFill="1" applyAlignment="1">
      <alignment vertical="center"/>
    </xf>
    <xf numFmtId="0" fontId="4" fillId="27" borderId="0" xfId="0" applyFont="1" applyFill="1" applyAlignment="1">
      <alignment vertical="center"/>
    </xf>
    <xf numFmtId="168" fontId="6" fillId="28" borderId="1" xfId="0" applyNumberFormat="1" applyFont="1" applyFill="1" applyBorder="1" applyAlignment="1">
      <alignment vertical="center"/>
    </xf>
    <xf numFmtId="0" fontId="4" fillId="26" borderId="5" xfId="0" applyFont="1" applyFill="1" applyBorder="1" applyAlignment="1">
      <alignment horizontal="center" vertical="center"/>
    </xf>
    <xf numFmtId="0" fontId="7" fillId="26" borderId="44" xfId="0" applyFont="1" applyFill="1" applyBorder="1" applyAlignment="1">
      <alignment vertical="center"/>
    </xf>
    <xf numFmtId="0" fontId="7" fillId="26" borderId="45" xfId="0" applyFont="1" applyFill="1" applyBorder="1" applyAlignment="1">
      <alignment horizontal="center" vertical="center"/>
    </xf>
    <xf numFmtId="0" fontId="7" fillId="26" borderId="45" xfId="0" applyFont="1" applyFill="1" applyBorder="1" applyAlignment="1">
      <alignment horizontal="center" vertical="center" wrapText="1"/>
    </xf>
    <xf numFmtId="0" fontId="7" fillId="26" borderId="18" xfId="0" applyFont="1" applyFill="1" applyBorder="1" applyAlignment="1">
      <alignment horizontal="center" vertical="center" wrapText="1"/>
    </xf>
    <xf numFmtId="0" fontId="4" fillId="27" borderId="34" xfId="0" applyFont="1" applyFill="1" applyBorder="1" applyAlignment="1">
      <alignment vertical="center"/>
    </xf>
    <xf numFmtId="0" fontId="4" fillId="27" borderId="34" xfId="0" applyFont="1" applyFill="1" applyBorder="1" applyAlignment="1">
      <alignment horizontal="center" vertical="center" wrapText="1"/>
    </xf>
    <xf numFmtId="0" fontId="7" fillId="26" borderId="41" xfId="0" applyFont="1" applyFill="1" applyBorder="1" applyAlignment="1">
      <alignment vertical="center"/>
    </xf>
    <xf numFmtId="0" fontId="7" fillId="26" borderId="41" xfId="0" applyFont="1" applyFill="1" applyBorder="1" applyAlignment="1">
      <alignment horizontal="center" vertical="center"/>
    </xf>
    <xf numFmtId="0" fontId="7" fillId="26" borderId="41" xfId="0" applyFont="1" applyFill="1" applyBorder="1" applyAlignment="1">
      <alignment horizontal="center" vertical="center" wrapText="1"/>
    </xf>
    <xf numFmtId="0" fontId="7" fillId="26" borderId="0" xfId="0" applyFont="1" applyFill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168" fontId="9" fillId="0" borderId="6" xfId="0" applyNumberFormat="1" applyFont="1" applyBorder="1" applyAlignment="1">
      <alignment vertical="center"/>
    </xf>
    <xf numFmtId="0" fontId="34" fillId="27" borderId="34" xfId="0" applyFont="1" applyFill="1" applyBorder="1"/>
    <xf numFmtId="0" fontId="9" fillId="0" borderId="34" xfId="0" applyFont="1" applyBorder="1" applyAlignment="1">
      <alignment vertical="center"/>
    </xf>
    <xf numFmtId="0" fontId="9" fillId="0" borderId="34" xfId="0" applyFont="1" applyBorder="1" applyAlignment="1">
      <alignment vertical="center" wrapText="1"/>
    </xf>
    <xf numFmtId="168" fontId="9" fillId="0" borderId="34" xfId="0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26" borderId="34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36" fillId="23" borderId="34" xfId="0" applyFont="1" applyFill="1" applyBorder="1" applyAlignment="1">
      <alignment vertical="center" wrapText="1"/>
    </xf>
    <xf numFmtId="0" fontId="35" fillId="0" borderId="0" xfId="0" applyFont="1"/>
    <xf numFmtId="0" fontId="9" fillId="26" borderId="0" xfId="0" applyFont="1" applyFill="1"/>
    <xf numFmtId="0" fontId="32" fillId="26" borderId="0" xfId="0" applyFont="1" applyFill="1" applyAlignment="1">
      <alignment vertical="center"/>
    </xf>
    <xf numFmtId="49" fontId="19" fillId="26" borderId="0" xfId="0" applyNumberFormat="1" applyFont="1" applyFill="1" applyAlignment="1">
      <alignment vertical="center" wrapText="1"/>
    </xf>
    <xf numFmtId="0" fontId="35" fillId="26" borderId="0" xfId="0" applyFont="1" applyFill="1"/>
    <xf numFmtId="0" fontId="10" fillId="26" borderId="0" xfId="0" applyFont="1" applyFill="1"/>
    <xf numFmtId="0" fontId="7" fillId="25" borderId="1" xfId="4" applyFont="1" applyFill="1" applyBorder="1" applyAlignment="1">
      <alignment vertical="center"/>
    </xf>
    <xf numFmtId="0" fontId="7" fillId="25" borderId="1" xfId="4" applyFont="1" applyFill="1" applyBorder="1" applyAlignment="1">
      <alignment vertical="center" wrapText="1"/>
    </xf>
    <xf numFmtId="168" fontId="7" fillId="25" borderId="1" xfId="1" applyNumberFormat="1" applyFont="1" applyFill="1" applyBorder="1" applyAlignment="1">
      <alignment vertical="center"/>
    </xf>
    <xf numFmtId="0" fontId="7" fillId="0" borderId="7" xfId="4" applyFont="1" applyBorder="1" applyAlignment="1">
      <alignment horizontal="center" vertical="center"/>
    </xf>
    <xf numFmtId="0" fontId="15" fillId="0" borderId="7" xfId="4" applyFont="1" applyBorder="1" applyAlignment="1">
      <alignment horizontal="left" vertical="center"/>
    </xf>
    <xf numFmtId="0" fontId="7" fillId="25" borderId="29" xfId="4" applyFont="1" applyFill="1" applyBorder="1" applyAlignment="1">
      <alignment vertical="center"/>
    </xf>
    <xf numFmtId="0" fontId="7" fillId="25" borderId="29" xfId="4" applyFont="1" applyFill="1" applyBorder="1" applyAlignment="1">
      <alignment vertical="center" wrapText="1"/>
    </xf>
    <xf numFmtId="168" fontId="38" fillId="4" borderId="1" xfId="1" applyNumberFormat="1" applyFont="1" applyFill="1" applyBorder="1" applyAlignment="1">
      <alignment vertical="center"/>
    </xf>
    <xf numFmtId="168" fontId="7" fillId="5" borderId="3" xfId="1" applyNumberFormat="1" applyFont="1" applyFill="1" applyBorder="1" applyAlignment="1">
      <alignment horizontal="left" vertical="center"/>
    </xf>
    <xf numFmtId="168" fontId="15" fillId="5" borderId="4" xfId="1" applyNumberFormat="1" applyFont="1" applyFill="1" applyBorder="1" applyAlignment="1">
      <alignment horizontal="left" vertical="center"/>
    </xf>
    <xf numFmtId="0" fontId="32" fillId="23" borderId="41" xfId="0" applyFont="1" applyFill="1" applyBorder="1" applyAlignment="1">
      <alignment vertical="center" wrapText="1"/>
    </xf>
    <xf numFmtId="0" fontId="9" fillId="0" borderId="41" xfId="0" applyFont="1" applyBorder="1" applyAlignment="1">
      <alignment vertical="center"/>
    </xf>
    <xf numFmtId="0" fontId="9" fillId="0" borderId="41" xfId="0" applyFont="1" applyBorder="1" applyAlignment="1">
      <alignment vertical="center" wrapText="1"/>
    </xf>
    <xf numFmtId="168" fontId="9" fillId="0" borderId="41" xfId="0" applyNumberFormat="1" applyFont="1" applyBorder="1" applyAlignment="1">
      <alignment vertical="center"/>
    </xf>
    <xf numFmtId="0" fontId="39" fillId="29" borderId="2" xfId="0" applyFont="1" applyFill="1" applyBorder="1" applyAlignment="1">
      <alignment vertical="center"/>
    </xf>
    <xf numFmtId="0" fontId="39" fillId="29" borderId="40" xfId="0" applyFont="1" applyFill="1" applyBorder="1" applyAlignment="1">
      <alignment vertical="center"/>
    </xf>
    <xf numFmtId="0" fontId="8" fillId="29" borderId="40" xfId="0" applyFont="1" applyFill="1" applyBorder="1" applyAlignment="1">
      <alignment vertical="center"/>
    </xf>
    <xf numFmtId="168" fontId="8" fillId="29" borderId="40" xfId="0" applyNumberFormat="1" applyFont="1" applyFill="1" applyBorder="1" applyAlignment="1">
      <alignment vertical="center"/>
    </xf>
    <xf numFmtId="168" fontId="8" fillId="29" borderId="18" xfId="0" applyNumberFormat="1" applyFont="1" applyFill="1" applyBorder="1" applyAlignment="1">
      <alignment vertical="center"/>
    </xf>
    <xf numFmtId="0" fontId="15" fillId="25" borderId="29" xfId="4" applyFont="1" applyFill="1" applyBorder="1" applyAlignment="1">
      <alignment vertical="center"/>
    </xf>
    <xf numFmtId="0" fontId="15" fillId="25" borderId="29" xfId="4" applyFont="1" applyFill="1" applyBorder="1" applyAlignment="1">
      <alignment vertical="center" wrapText="1"/>
    </xf>
    <xf numFmtId="168" fontId="15" fillId="25" borderId="1" xfId="1" applyNumberFormat="1" applyFont="1" applyFill="1" applyBorder="1" applyAlignment="1">
      <alignment vertical="center"/>
    </xf>
    <xf numFmtId="168" fontId="38" fillId="28" borderId="1" xfId="0" applyNumberFormat="1" applyFont="1" applyFill="1" applyBorder="1" applyAlignment="1">
      <alignment vertical="center"/>
    </xf>
    <xf numFmtId="0" fontId="32" fillId="23" borderId="41" xfId="0" applyFont="1" applyFill="1" applyBorder="1" applyAlignment="1">
      <alignment vertical="center"/>
    </xf>
    <xf numFmtId="168" fontId="9" fillId="0" borderId="0" xfId="0" applyNumberFormat="1" applyFont="1" applyAlignment="1">
      <alignment vertical="center"/>
    </xf>
    <xf numFmtId="0" fontId="14" fillId="0" borderId="0" xfId="0" applyFont="1"/>
    <xf numFmtId="173" fontId="39" fillId="0" borderId="21" xfId="0" applyNumberFormat="1" applyFont="1" applyBorder="1" applyAlignment="1">
      <alignment vertical="center"/>
    </xf>
    <xf numFmtId="0" fontId="25" fillId="0" borderId="29" xfId="0" applyFont="1" applyBorder="1" applyAlignment="1">
      <alignment horizontal="center" vertical="center"/>
    </xf>
    <xf numFmtId="169" fontId="28" fillId="12" borderId="33" xfId="1" applyNumberFormat="1" applyFont="1" applyFill="1" applyBorder="1" applyAlignment="1">
      <alignment horizontal="center" vertical="center" wrapText="1"/>
    </xf>
    <xf numFmtId="169" fontId="26" fillId="12" borderId="3" xfId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9" fontId="17" fillId="0" borderId="7" xfId="5" applyFont="1" applyBorder="1" applyAlignment="1" applyProtection="1">
      <alignment vertical="center"/>
      <protection locked="0"/>
    </xf>
    <xf numFmtId="3" fontId="29" fillId="0" borderId="7" xfId="0" applyNumberFormat="1" applyFont="1" applyBorder="1" applyAlignment="1">
      <alignment vertical="top"/>
    </xf>
    <xf numFmtId="3" fontId="30" fillId="15" borderId="35" xfId="0" applyNumberFormat="1" applyFont="1" applyFill="1" applyBorder="1" applyAlignment="1">
      <alignment vertical="top"/>
    </xf>
    <xf numFmtId="171" fontId="14" fillId="0" borderId="7" xfId="0" applyNumberFormat="1" applyFont="1" applyBorder="1" applyAlignment="1">
      <alignment vertical="top"/>
    </xf>
    <xf numFmtId="0" fontId="14" fillId="0" borderId="7" xfId="0" applyFont="1" applyBorder="1"/>
    <xf numFmtId="0" fontId="14" fillId="0" borderId="21" xfId="0" applyFont="1" applyBorder="1" applyAlignment="1">
      <alignment vertical="top"/>
    </xf>
    <xf numFmtId="0" fontId="30" fillId="16" borderId="35" xfId="0" applyFont="1" applyFill="1" applyBorder="1" applyAlignment="1">
      <alignment vertical="top"/>
    </xf>
    <xf numFmtId="171" fontId="14" fillId="17" borderId="7" xfId="0" applyNumberFormat="1" applyFont="1" applyFill="1" applyBorder="1" applyAlignment="1">
      <alignment vertical="top"/>
    </xf>
    <xf numFmtId="171" fontId="14" fillId="17" borderId="21" xfId="0" applyNumberFormat="1" applyFont="1" applyFill="1" applyBorder="1" applyAlignment="1">
      <alignment vertical="top"/>
    </xf>
    <xf numFmtId="171" fontId="14" fillId="0" borderId="35" xfId="0" applyNumberFormat="1" applyFont="1" applyBorder="1" applyAlignment="1">
      <alignment vertical="top"/>
    </xf>
    <xf numFmtId="0" fontId="14" fillId="0" borderId="6" xfId="0" applyFont="1" applyBorder="1" applyAlignment="1">
      <alignment vertical="top"/>
    </xf>
    <xf numFmtId="171" fontId="14" fillId="17" borderId="9" xfId="0" applyNumberFormat="1" applyFont="1" applyFill="1" applyBorder="1" applyAlignment="1">
      <alignment vertical="top"/>
    </xf>
    <xf numFmtId="171" fontId="14" fillId="0" borderId="25" xfId="0" applyNumberFormat="1" applyFont="1" applyBorder="1" applyAlignment="1">
      <alignment vertical="top"/>
    </xf>
    <xf numFmtId="0" fontId="14" fillId="0" borderId="51" xfId="0" applyFont="1" applyBorder="1"/>
    <xf numFmtId="9" fontId="17" fillId="0" borderId="52" xfId="5" applyFont="1" applyBorder="1" applyAlignment="1" applyProtection="1">
      <alignment vertical="center"/>
      <protection locked="0"/>
    </xf>
    <xf numFmtId="3" fontId="12" fillId="14" borderId="8" xfId="0" applyNumberFormat="1" applyFont="1" applyFill="1" applyBorder="1"/>
    <xf numFmtId="3" fontId="30" fillId="15" borderId="39" xfId="0" applyNumberFormat="1" applyFont="1" applyFill="1" applyBorder="1" applyAlignment="1">
      <alignment vertical="top"/>
    </xf>
    <xf numFmtId="171" fontId="14" fillId="0" borderId="29" xfId="0" applyNumberFormat="1" applyFont="1" applyBorder="1" applyAlignment="1">
      <alignment vertical="top"/>
    </xf>
    <xf numFmtId="0" fontId="30" fillId="16" borderId="39" xfId="0" applyFont="1" applyFill="1" applyBorder="1" applyAlignment="1">
      <alignment vertical="top"/>
    </xf>
    <xf numFmtId="171" fontId="14" fillId="17" borderId="29" xfId="0" applyNumberFormat="1" applyFont="1" applyFill="1" applyBorder="1" applyAlignment="1">
      <alignment vertical="top"/>
    </xf>
    <xf numFmtId="171" fontId="14" fillId="17" borderId="50" xfId="0" applyNumberFormat="1" applyFont="1" applyFill="1" applyBorder="1" applyAlignment="1">
      <alignment vertical="top"/>
    </xf>
    <xf numFmtId="171" fontId="14" fillId="0" borderId="39" xfId="0" applyNumberFormat="1" applyFont="1" applyBorder="1" applyAlignment="1">
      <alignment vertical="top"/>
    </xf>
    <xf numFmtId="0" fontId="14" fillId="0" borderId="2" xfId="0" applyFont="1" applyBorder="1"/>
    <xf numFmtId="3" fontId="15" fillId="4" borderId="3" xfId="0" applyNumberFormat="1" applyFont="1" applyFill="1" applyBorder="1"/>
    <xf numFmtId="9" fontId="17" fillId="0" borderId="3" xfId="5" applyFont="1" applyBorder="1" applyAlignment="1" applyProtection="1">
      <alignment vertical="center"/>
      <protection locked="0"/>
    </xf>
    <xf numFmtId="3" fontId="15" fillId="4" borderId="53" xfId="0" applyNumberFormat="1" applyFont="1" applyFill="1" applyBorder="1"/>
    <xf numFmtId="3" fontId="15" fillId="4" borderId="33" xfId="0" applyNumberFormat="1" applyFont="1" applyFill="1" applyBorder="1"/>
    <xf numFmtId="0" fontId="14" fillId="2" borderId="23" xfId="0" applyFont="1" applyFill="1" applyBorder="1"/>
    <xf numFmtId="0" fontId="14" fillId="9" borderId="21" xfId="0" applyFont="1" applyFill="1" applyBorder="1" applyAlignment="1">
      <alignment vertical="top"/>
    </xf>
    <xf numFmtId="0" fontId="30" fillId="17" borderId="35" xfId="0" applyFont="1" applyFill="1" applyBorder="1" applyAlignment="1">
      <alignment vertical="top"/>
    </xf>
    <xf numFmtId="171" fontId="14" fillId="15" borderId="7" xfId="0" applyNumberFormat="1" applyFont="1" applyFill="1" applyBorder="1" applyAlignment="1">
      <alignment vertical="top"/>
    </xf>
    <xf numFmtId="171" fontId="14" fillId="15" borderId="21" xfId="0" applyNumberFormat="1" applyFont="1" applyFill="1" applyBorder="1" applyAlignment="1">
      <alignment vertical="top"/>
    </xf>
    <xf numFmtId="0" fontId="30" fillId="17" borderId="25" xfId="0" applyFont="1" applyFill="1" applyBorder="1" applyAlignment="1">
      <alignment vertical="top"/>
    </xf>
    <xf numFmtId="171" fontId="14" fillId="15" borderId="9" xfId="0" applyNumberFormat="1" applyFont="1" applyFill="1" applyBorder="1" applyAlignment="1">
      <alignment vertical="top"/>
    </xf>
    <xf numFmtId="3" fontId="15" fillId="4" borderId="7" xfId="0" applyNumberFormat="1" applyFont="1" applyFill="1" applyBorder="1"/>
    <xf numFmtId="3" fontId="15" fillId="4" borderId="21" xfId="0" applyNumberFormat="1" applyFont="1" applyFill="1" applyBorder="1"/>
    <xf numFmtId="3" fontId="15" fillId="4" borderId="35" xfId="0" applyNumberFormat="1" applyFont="1" applyFill="1" applyBorder="1"/>
    <xf numFmtId="171" fontId="14" fillId="16" borderId="9" xfId="0" applyNumberFormat="1" applyFont="1" applyFill="1" applyBorder="1" applyAlignment="1">
      <alignment vertical="top"/>
    </xf>
    <xf numFmtId="0" fontId="14" fillId="9" borderId="9" xfId="0" applyFont="1" applyFill="1" applyBorder="1" applyAlignment="1">
      <alignment vertical="top"/>
    </xf>
    <xf numFmtId="171" fontId="14" fillId="18" borderId="9" xfId="0" applyNumberFormat="1" applyFont="1" applyFill="1" applyBorder="1" applyAlignment="1">
      <alignment vertical="top"/>
    </xf>
    <xf numFmtId="171" fontId="14" fillId="9" borderId="1" xfId="0" applyNumberFormat="1" applyFont="1" applyFill="1" applyBorder="1" applyAlignment="1">
      <alignment vertical="top"/>
    </xf>
    <xf numFmtId="171" fontId="14" fillId="19" borderId="9" xfId="0" applyNumberFormat="1" applyFont="1" applyFill="1" applyBorder="1" applyAlignment="1">
      <alignment vertical="top"/>
    </xf>
    <xf numFmtId="0" fontId="30" fillId="9" borderId="25" xfId="0" applyFont="1" applyFill="1" applyBorder="1" applyAlignment="1">
      <alignment vertical="top"/>
    </xf>
    <xf numFmtId="171" fontId="14" fillId="9" borderId="9" xfId="0" applyNumberFormat="1" applyFont="1" applyFill="1" applyBorder="1" applyAlignment="1">
      <alignment vertical="top"/>
    </xf>
    <xf numFmtId="171" fontId="14" fillId="20" borderId="9" xfId="0" applyNumberFormat="1" applyFont="1" applyFill="1" applyBorder="1" applyAlignment="1">
      <alignment vertical="top"/>
    </xf>
    <xf numFmtId="171" fontId="14" fillId="21" borderId="9" xfId="0" applyNumberFormat="1" applyFont="1" applyFill="1" applyBorder="1" applyAlignment="1">
      <alignment vertical="top"/>
    </xf>
    <xf numFmtId="171" fontId="14" fillId="7" borderId="9" xfId="0" applyNumberFormat="1" applyFont="1" applyFill="1" applyBorder="1" applyAlignment="1">
      <alignment vertical="top"/>
    </xf>
    <xf numFmtId="171" fontId="14" fillId="6" borderId="9" xfId="0" applyNumberFormat="1" applyFont="1" applyFill="1" applyBorder="1" applyAlignment="1">
      <alignment vertical="top"/>
    </xf>
    <xf numFmtId="171" fontId="14" fillId="22" borderId="9" xfId="0" applyNumberFormat="1" applyFont="1" applyFill="1" applyBorder="1" applyAlignment="1">
      <alignment vertical="top"/>
    </xf>
    <xf numFmtId="171" fontId="14" fillId="10" borderId="9" xfId="0" applyNumberFormat="1" applyFont="1" applyFill="1" applyBorder="1" applyAlignment="1">
      <alignment vertical="top"/>
    </xf>
    <xf numFmtId="3" fontId="15" fillId="4" borderId="8" xfId="0" applyNumberFormat="1" applyFont="1" applyFill="1" applyBorder="1"/>
    <xf numFmtId="3" fontId="15" fillId="4" borderId="42" xfId="0" applyNumberFormat="1" applyFont="1" applyFill="1" applyBorder="1"/>
    <xf numFmtId="3" fontId="15" fillId="4" borderId="22" xfId="0" applyNumberFormat="1" applyFont="1" applyFill="1" applyBorder="1"/>
    <xf numFmtId="0" fontId="30" fillId="16" borderId="19" xfId="0" applyFont="1" applyFill="1" applyBorder="1" applyAlignment="1">
      <alignment vertical="top"/>
    </xf>
    <xf numFmtId="172" fontId="8" fillId="8" borderId="12" xfId="0" applyNumberFormat="1" applyFont="1" applyFill="1" applyBorder="1" applyAlignment="1">
      <alignment horizontal="left" vertical="center"/>
    </xf>
    <xf numFmtId="3" fontId="8" fillId="8" borderId="3" xfId="0" applyNumberFormat="1" applyFont="1" applyFill="1" applyBorder="1" applyAlignment="1">
      <alignment horizontal="right" vertical="center"/>
    </xf>
    <xf numFmtId="3" fontId="8" fillId="8" borderId="53" xfId="0" applyNumberFormat="1" applyFont="1" applyFill="1" applyBorder="1" applyAlignment="1">
      <alignment horizontal="right" vertical="center"/>
    </xf>
    <xf numFmtId="171" fontId="8" fillId="8" borderId="3" xfId="0" applyNumberFormat="1" applyFont="1" applyFill="1" applyBorder="1" applyAlignment="1">
      <alignment vertical="center"/>
    </xf>
    <xf numFmtId="3" fontId="8" fillId="8" borderId="53" xfId="0" applyNumberFormat="1" applyFont="1" applyFill="1" applyBorder="1" applyAlignment="1">
      <alignment vertical="center"/>
    </xf>
    <xf numFmtId="3" fontId="8" fillId="8" borderId="33" xfId="0" applyNumberFormat="1" applyFont="1" applyFill="1" applyBorder="1" applyAlignment="1">
      <alignment vertical="center"/>
    </xf>
    <xf numFmtId="0" fontId="25" fillId="8" borderId="3" xfId="0" applyFont="1" applyFill="1" applyBorder="1" applyAlignment="1">
      <alignment vertical="center"/>
    </xf>
    <xf numFmtId="0" fontId="25" fillId="8" borderId="53" xfId="0" applyFont="1" applyFill="1" applyBorder="1" applyAlignment="1">
      <alignment vertical="center"/>
    </xf>
    <xf numFmtId="0" fontId="25" fillId="8" borderId="33" xfId="0" applyFont="1" applyFill="1" applyBorder="1" applyAlignment="1">
      <alignment vertical="center"/>
    </xf>
    <xf numFmtId="0" fontId="25" fillId="8" borderId="12" xfId="0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7" fillId="2" borderId="0" xfId="4" applyFont="1" applyFill="1" applyAlignment="1">
      <alignment horizontal="center" vertical="center" wrapText="1"/>
    </xf>
    <xf numFmtId="173" fontId="36" fillId="25" borderId="33" xfId="0" applyNumberFormat="1" applyFont="1" applyFill="1" applyBorder="1" applyAlignment="1">
      <alignment vertical="center"/>
    </xf>
    <xf numFmtId="0" fontId="25" fillId="15" borderId="2" xfId="4" applyFont="1" applyFill="1" applyBorder="1" applyAlignment="1">
      <alignment vertical="center"/>
    </xf>
    <xf numFmtId="0" fontId="25" fillId="15" borderId="3" xfId="4" applyFont="1" applyFill="1" applyBorder="1" applyAlignment="1">
      <alignment vertical="center"/>
    </xf>
    <xf numFmtId="0" fontId="8" fillId="15" borderId="3" xfId="4" applyFont="1" applyFill="1" applyBorder="1" applyAlignment="1">
      <alignment vertical="center"/>
    </xf>
    <xf numFmtId="168" fontId="8" fillId="15" borderId="3" xfId="1" applyNumberFormat="1" applyFont="1" applyFill="1" applyBorder="1" applyAlignment="1">
      <alignment vertical="center"/>
    </xf>
    <xf numFmtId="173" fontId="39" fillId="15" borderId="4" xfId="0" applyNumberFormat="1" applyFont="1" applyFill="1" applyBorder="1" applyAlignment="1">
      <alignment vertical="center"/>
    </xf>
    <xf numFmtId="168" fontId="9" fillId="0" borderId="9" xfId="1" applyNumberFormat="1" applyFont="1" applyFill="1" applyBorder="1" applyAlignment="1">
      <alignment vertical="center"/>
    </xf>
    <xf numFmtId="173" fontId="39" fillId="0" borderId="33" xfId="0" applyNumberFormat="1" applyFont="1" applyBorder="1" applyAlignment="1">
      <alignment vertical="center"/>
    </xf>
    <xf numFmtId="168" fontId="7" fillId="30" borderId="3" xfId="1" applyNumberFormat="1" applyFont="1" applyFill="1" applyBorder="1" applyAlignment="1">
      <alignment vertical="center"/>
    </xf>
    <xf numFmtId="168" fontId="15" fillId="30" borderId="4" xfId="1" applyNumberFormat="1" applyFont="1" applyFill="1" applyBorder="1" applyAlignment="1">
      <alignment vertical="center"/>
    </xf>
    <xf numFmtId="173" fontId="36" fillId="30" borderId="33" xfId="0" applyNumberFormat="1" applyFont="1" applyFill="1" applyBorder="1" applyAlignment="1">
      <alignment vertical="center"/>
    </xf>
    <xf numFmtId="0" fontId="44" fillId="4" borderId="6" xfId="0" applyFont="1" applyFill="1" applyBorder="1"/>
    <xf numFmtId="168" fontId="45" fillId="4" borderId="1" xfId="1" applyNumberFormat="1" applyFont="1" applyFill="1" applyBorder="1" applyAlignment="1">
      <alignment vertical="center"/>
    </xf>
    <xf numFmtId="173" fontId="46" fillId="25" borderId="33" xfId="0" applyNumberFormat="1" applyFont="1" applyFill="1" applyBorder="1" applyAlignment="1">
      <alignment vertical="center"/>
    </xf>
    <xf numFmtId="0" fontId="14" fillId="8" borderId="29" xfId="4" applyFont="1" applyFill="1" applyBorder="1" applyAlignment="1">
      <alignment vertical="center" wrapText="1"/>
    </xf>
    <xf numFmtId="0" fontId="15" fillId="0" borderId="34" xfId="4" applyFont="1" applyBorder="1" applyAlignment="1">
      <alignment horizontal="left" vertical="center"/>
    </xf>
    <xf numFmtId="168" fontId="9" fillId="2" borderId="0" xfId="1" applyNumberFormat="1" applyFont="1" applyFill="1" applyBorder="1" applyAlignment="1">
      <alignment vertical="center"/>
    </xf>
    <xf numFmtId="168" fontId="7" fillId="6" borderId="0" xfId="1" applyNumberFormat="1" applyFont="1" applyFill="1" applyBorder="1" applyAlignment="1">
      <alignment vertical="center"/>
    </xf>
    <xf numFmtId="168" fontId="9" fillId="2" borderId="0" xfId="4" applyNumberFormat="1" applyFont="1" applyFill="1" applyAlignment="1">
      <alignment vertical="center" wrapText="1"/>
    </xf>
    <xf numFmtId="168" fontId="7" fillId="5" borderId="0" xfId="1" applyNumberFormat="1" applyFont="1" applyFill="1" applyBorder="1" applyAlignment="1">
      <alignment vertical="center"/>
    </xf>
    <xf numFmtId="168" fontId="9" fillId="7" borderId="0" xfId="1" applyNumberFormat="1" applyFont="1" applyFill="1" applyBorder="1" applyAlignment="1">
      <alignment vertical="center"/>
    </xf>
    <xf numFmtId="168" fontId="7" fillId="2" borderId="0" xfId="1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vertical="center"/>
    </xf>
    <xf numFmtId="0" fontId="7" fillId="2" borderId="0" xfId="4" applyFont="1" applyFill="1" applyAlignment="1">
      <alignment horizontal="left" vertical="center" wrapText="1"/>
    </xf>
    <xf numFmtId="170" fontId="9" fillId="0" borderId="0" xfId="1" applyNumberFormat="1" applyFont="1" applyFill="1" applyBorder="1" applyAlignment="1">
      <alignment horizontal="right"/>
    </xf>
    <xf numFmtId="170" fontId="9" fillId="0" borderId="0" xfId="1" applyNumberFormat="1" applyFont="1" applyBorder="1"/>
    <xf numFmtId="170" fontId="9" fillId="0" borderId="0" xfId="1" applyNumberFormat="1" applyFont="1" applyFill="1" applyBorder="1"/>
    <xf numFmtId="170" fontId="9" fillId="2" borderId="0" xfId="1" applyNumberFormat="1" applyFont="1" applyFill="1" applyBorder="1"/>
    <xf numFmtId="170" fontId="9" fillId="0" borderId="0" xfId="1" applyNumberFormat="1" applyFont="1" applyBorder="1" applyAlignment="1">
      <alignment vertical="center"/>
    </xf>
    <xf numFmtId="168" fontId="6" fillId="4" borderId="0" xfId="1" applyNumberFormat="1" applyFont="1" applyFill="1" applyBorder="1" applyAlignment="1">
      <alignment vertical="center"/>
    </xf>
    <xf numFmtId="0" fontId="32" fillId="23" borderId="0" xfId="0" applyFont="1" applyFill="1" applyAlignment="1">
      <alignment vertical="center"/>
    </xf>
    <xf numFmtId="168" fontId="37" fillId="28" borderId="1" xfId="0" applyNumberFormat="1" applyFont="1" applyFill="1" applyBorder="1" applyAlignment="1">
      <alignment vertical="center"/>
    </xf>
    <xf numFmtId="168" fontId="15" fillId="5" borderId="0" xfId="1" applyNumberFormat="1" applyFont="1" applyFill="1" applyBorder="1" applyAlignment="1">
      <alignment horizontal="left" vertical="center"/>
    </xf>
    <xf numFmtId="173" fontId="39" fillId="0" borderId="7" xfId="0" applyNumberFormat="1" applyFont="1" applyBorder="1" applyAlignment="1">
      <alignment vertical="center"/>
    </xf>
    <xf numFmtId="173" fontId="39" fillId="0" borderId="18" xfId="0" applyNumberFormat="1" applyFont="1" applyBorder="1" applyAlignment="1">
      <alignment vertical="center"/>
    </xf>
    <xf numFmtId="173" fontId="39" fillId="0" borderId="0" xfId="0" applyNumberFormat="1" applyFont="1" applyAlignment="1">
      <alignment vertical="center"/>
    </xf>
    <xf numFmtId="0" fontId="15" fillId="25" borderId="2" xfId="4" applyFont="1" applyFill="1" applyBorder="1" applyAlignment="1">
      <alignment vertical="center"/>
    </xf>
    <xf numFmtId="0" fontId="15" fillId="25" borderId="3" xfId="4" applyFont="1" applyFill="1" applyBorder="1" applyAlignment="1">
      <alignment vertical="center"/>
    </xf>
    <xf numFmtId="168" fontId="15" fillId="25" borderId="3" xfId="1" applyNumberFormat="1" applyFont="1" applyFill="1" applyBorder="1" applyAlignment="1">
      <alignment vertical="center"/>
    </xf>
    <xf numFmtId="168" fontId="15" fillId="25" borderId="4" xfId="1" applyNumberFormat="1" applyFont="1" applyFill="1" applyBorder="1" applyAlignment="1">
      <alignment vertical="center"/>
    </xf>
    <xf numFmtId="168" fontId="15" fillId="25" borderId="2" xfId="1" applyNumberFormat="1" applyFont="1" applyFill="1" applyBorder="1" applyAlignment="1">
      <alignment vertical="center"/>
    </xf>
    <xf numFmtId="168" fontId="15" fillId="25" borderId="53" xfId="1" applyNumberFormat="1" applyFont="1" applyFill="1" applyBorder="1" applyAlignment="1">
      <alignment vertical="center"/>
    </xf>
    <xf numFmtId="168" fontId="37" fillId="4" borderId="1" xfId="1" applyNumberFormat="1" applyFont="1" applyFill="1" applyBorder="1" applyAlignment="1">
      <alignment vertical="center"/>
    </xf>
    <xf numFmtId="0" fontId="15" fillId="5" borderId="7" xfId="4" applyFont="1" applyFill="1" applyBorder="1" applyAlignment="1">
      <alignment vertical="center" wrapText="1"/>
    </xf>
    <xf numFmtId="168" fontId="7" fillId="2" borderId="9" xfId="1" applyNumberFormat="1" applyFont="1" applyFill="1" applyBorder="1" applyAlignment="1">
      <alignment vertical="center"/>
    </xf>
    <xf numFmtId="168" fontId="9" fillId="2" borderId="9" xfId="4" applyNumberFormat="1" applyFont="1" applyFill="1" applyBorder="1" applyAlignment="1">
      <alignment vertical="center" wrapText="1"/>
    </xf>
    <xf numFmtId="0" fontId="14" fillId="9" borderId="1" xfId="4" applyFont="1" applyFill="1" applyBorder="1" applyAlignment="1">
      <alignment vertical="center"/>
    </xf>
    <xf numFmtId="0" fontId="14" fillId="8" borderId="29" xfId="4" applyFont="1" applyFill="1" applyBorder="1" applyAlignment="1">
      <alignment vertical="center"/>
    </xf>
    <xf numFmtId="0" fontId="9" fillId="0" borderId="29" xfId="4" applyFont="1" applyBorder="1" applyAlignment="1">
      <alignment vertical="center"/>
    </xf>
    <xf numFmtId="168" fontId="7" fillId="4" borderId="1" xfId="1" applyNumberFormat="1" applyFont="1" applyFill="1" applyBorder="1" applyAlignment="1">
      <alignment vertical="center"/>
    </xf>
    <xf numFmtId="173" fontId="48" fillId="25" borderId="33" xfId="0" applyNumberFormat="1" applyFont="1" applyFill="1" applyBorder="1" applyAlignment="1">
      <alignment vertical="center"/>
    </xf>
    <xf numFmtId="1" fontId="25" fillId="8" borderId="33" xfId="0" applyNumberFormat="1" applyFont="1" applyFill="1" applyBorder="1" applyAlignment="1">
      <alignment vertical="center"/>
    </xf>
    <xf numFmtId="0" fontId="13" fillId="8" borderId="1" xfId="4" applyFont="1" applyFill="1" applyBorder="1" applyAlignment="1">
      <alignment vertical="center"/>
    </xf>
    <xf numFmtId="173" fontId="49" fillId="0" borderId="21" xfId="0" applyNumberFormat="1" applyFont="1" applyBorder="1" applyAlignment="1">
      <alignment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/>
    <xf numFmtId="0" fontId="29" fillId="0" borderId="0" xfId="0" applyFont="1"/>
    <xf numFmtId="0" fontId="7" fillId="2" borderId="7" xfId="4" applyFont="1" applyFill="1" applyBorder="1" applyAlignment="1">
      <alignment horizontal="center" vertical="center"/>
    </xf>
    <xf numFmtId="0" fontId="9" fillId="2" borderId="0" xfId="4" applyFont="1" applyFill="1" applyAlignment="1">
      <alignment vertical="center"/>
    </xf>
    <xf numFmtId="0" fontId="0" fillId="9" borderId="0" xfId="0" applyFill="1"/>
    <xf numFmtId="0" fontId="48" fillId="23" borderId="34" xfId="0" applyFont="1" applyFill="1" applyBorder="1" applyAlignment="1">
      <alignment vertical="center" wrapText="1"/>
    </xf>
    <xf numFmtId="0" fontId="15" fillId="9" borderId="1" xfId="4" applyFont="1" applyFill="1" applyBorder="1" applyAlignment="1">
      <alignment horizontal="left" vertical="center" wrapText="1"/>
    </xf>
    <xf numFmtId="0" fontId="7" fillId="9" borderId="1" xfId="4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/>
    </xf>
    <xf numFmtId="168" fontId="9" fillId="2" borderId="34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 wrapText="1"/>
    </xf>
    <xf numFmtId="168" fontId="9" fillId="0" borderId="34" xfId="1" applyNumberFormat="1" applyFont="1" applyFill="1" applyBorder="1" applyAlignment="1">
      <alignment vertical="center"/>
    </xf>
    <xf numFmtId="0" fontId="27" fillId="2" borderId="1" xfId="4" applyFont="1" applyFill="1" applyBorder="1" applyAlignment="1">
      <alignment vertical="center" wrapText="1"/>
    </xf>
    <xf numFmtId="173" fontId="39" fillId="2" borderId="33" xfId="0" applyNumberFormat="1" applyFont="1" applyFill="1" applyBorder="1" applyAlignment="1">
      <alignment vertical="center"/>
    </xf>
    <xf numFmtId="0" fontId="50" fillId="2" borderId="1" xfId="4" applyFont="1" applyFill="1" applyBorder="1" applyAlignment="1">
      <alignment vertical="center" wrapText="1"/>
    </xf>
    <xf numFmtId="0" fontId="32" fillId="31" borderId="7" xfId="0" applyFont="1" applyFill="1" applyBorder="1" applyAlignment="1">
      <alignment vertical="center"/>
    </xf>
    <xf numFmtId="0" fontId="32" fillId="31" borderId="34" xfId="0" applyFont="1" applyFill="1" applyBorder="1" applyAlignment="1">
      <alignment vertical="center" wrapText="1"/>
    </xf>
    <xf numFmtId="0" fontId="41" fillId="31" borderId="34" xfId="0" applyFont="1" applyFill="1" applyBorder="1" applyAlignment="1">
      <alignment vertical="center" wrapText="1"/>
    </xf>
    <xf numFmtId="0" fontId="39" fillId="31" borderId="34" xfId="0" applyFont="1" applyFill="1" applyBorder="1" applyAlignment="1">
      <alignment vertical="center" wrapText="1"/>
    </xf>
    <xf numFmtId="173" fontId="39" fillId="2" borderId="21" xfId="0" applyNumberFormat="1" applyFont="1" applyFill="1" applyBorder="1" applyAlignment="1">
      <alignment vertical="center"/>
    </xf>
    <xf numFmtId="0" fontId="15" fillId="2" borderId="34" xfId="4" applyFont="1" applyFill="1" applyBorder="1" applyAlignment="1">
      <alignment horizontal="left" vertical="center"/>
    </xf>
    <xf numFmtId="0" fontId="48" fillId="31" borderId="34" xfId="0" applyFont="1" applyFill="1" applyBorder="1" applyAlignment="1">
      <alignment vertical="center" wrapText="1"/>
    </xf>
    <xf numFmtId="0" fontId="41" fillId="31" borderId="7" xfId="0" applyFont="1" applyFill="1" applyBorder="1" applyAlignment="1">
      <alignment vertical="center"/>
    </xf>
    <xf numFmtId="0" fontId="51" fillId="2" borderId="34" xfId="0" applyFont="1" applyFill="1" applyBorder="1" applyAlignment="1">
      <alignment vertical="center"/>
    </xf>
    <xf numFmtId="0" fontId="51" fillId="2" borderId="34" xfId="0" applyFont="1" applyFill="1" applyBorder="1" applyAlignment="1">
      <alignment vertical="center" wrapText="1"/>
    </xf>
    <xf numFmtId="168" fontId="51" fillId="2" borderId="34" xfId="0" applyNumberFormat="1" applyFont="1" applyFill="1" applyBorder="1" applyAlignment="1">
      <alignment vertical="center"/>
    </xf>
    <xf numFmtId="0" fontId="25" fillId="8" borderId="1" xfId="4" applyFont="1" applyFill="1" applyBorder="1" applyAlignment="1">
      <alignment vertical="center" wrapText="1"/>
    </xf>
    <xf numFmtId="0" fontId="15" fillId="2" borderId="41" xfId="4" applyFont="1" applyFill="1" applyBorder="1" applyAlignment="1">
      <alignment horizontal="left" vertical="center"/>
    </xf>
    <xf numFmtId="168" fontId="9" fillId="0" borderId="29" xfId="1" applyNumberFormat="1" applyFont="1" applyFill="1" applyBorder="1" applyAlignment="1">
      <alignment vertical="center"/>
    </xf>
    <xf numFmtId="173" fontId="39" fillId="0" borderId="42" xfId="0" applyNumberFormat="1" applyFont="1" applyBorder="1" applyAlignment="1">
      <alignment vertical="center"/>
    </xf>
    <xf numFmtId="0" fontId="8" fillId="15" borderId="54" xfId="4" applyFont="1" applyFill="1" applyBorder="1" applyAlignment="1">
      <alignment vertical="center"/>
    </xf>
    <xf numFmtId="168" fontId="8" fillId="15" borderId="54" xfId="1" applyNumberFormat="1" applyFont="1" applyFill="1" applyBorder="1" applyAlignment="1">
      <alignment vertical="center"/>
    </xf>
    <xf numFmtId="173" fontId="39" fillId="15" borderId="55" xfId="0" applyNumberFormat="1" applyFont="1" applyFill="1" applyBorder="1" applyAlignment="1">
      <alignment vertical="center"/>
    </xf>
    <xf numFmtId="0" fontId="11" fillId="3" borderId="7" xfId="0" applyFont="1" applyFill="1" applyBorder="1"/>
    <xf numFmtId="0" fontId="0" fillId="2" borderId="1" xfId="0" applyFill="1" applyBorder="1"/>
    <xf numFmtId="0" fontId="51" fillId="2" borderId="8" xfId="4" applyFont="1" applyFill="1" applyBorder="1" applyAlignment="1">
      <alignment horizontal="left" vertical="center"/>
    </xf>
    <xf numFmtId="0" fontId="44" fillId="4" borderId="34" xfId="0" applyFont="1" applyFill="1" applyBorder="1"/>
    <xf numFmtId="168" fontId="45" fillId="4" borderId="7" xfId="1" applyNumberFormat="1" applyFont="1" applyFill="1" applyBorder="1" applyAlignment="1">
      <alignment vertical="center"/>
    </xf>
    <xf numFmtId="0" fontId="51" fillId="2" borderId="1" xfId="4" applyFont="1" applyFill="1" applyBorder="1" applyAlignment="1">
      <alignment horizontal="left" vertical="center"/>
    </xf>
    <xf numFmtId="173" fontId="39" fillId="0" borderId="1" xfId="0" applyNumberFormat="1" applyFont="1" applyBorder="1" applyAlignment="1">
      <alignment vertical="center"/>
    </xf>
    <xf numFmtId="0" fontId="15" fillId="2" borderId="29" xfId="4" applyFont="1" applyFill="1" applyBorder="1" applyAlignment="1">
      <alignment horizontal="left" vertical="center"/>
    </xf>
    <xf numFmtId="0" fontId="32" fillId="31" borderId="8" xfId="0" applyFont="1" applyFill="1" applyBorder="1" applyAlignment="1">
      <alignment vertical="center"/>
    </xf>
    <xf numFmtId="0" fontId="32" fillId="31" borderId="41" xfId="0" applyFont="1" applyFill="1" applyBorder="1" applyAlignment="1">
      <alignment vertical="center" wrapText="1"/>
    </xf>
    <xf numFmtId="168" fontId="9" fillId="2" borderId="29" xfId="1" applyNumberFormat="1" applyFont="1" applyFill="1" applyBorder="1" applyAlignment="1">
      <alignment vertical="center"/>
    </xf>
    <xf numFmtId="173" fontId="39" fillId="2" borderId="42" xfId="0" applyNumberFormat="1" applyFont="1" applyFill="1" applyBorder="1" applyAlignment="1">
      <alignment vertical="center"/>
    </xf>
    <xf numFmtId="0" fontId="8" fillId="2" borderId="1" xfId="4" applyFont="1" applyFill="1" applyBorder="1" applyAlignment="1">
      <alignment horizontal="left" vertical="center"/>
    </xf>
    <xf numFmtId="168" fontId="9" fillId="2" borderId="9" xfId="1" applyNumberFormat="1" applyFont="1" applyFill="1" applyBorder="1" applyAlignment="1">
      <alignment vertical="center"/>
    </xf>
    <xf numFmtId="173" fontId="52" fillId="4" borderId="1" xfId="0" applyNumberFormat="1" applyFont="1" applyFill="1" applyBorder="1" applyAlignment="1">
      <alignment vertical="center"/>
    </xf>
    <xf numFmtId="168" fontId="7" fillId="2" borderId="34" xfId="0" applyNumberFormat="1" applyFont="1" applyFill="1" applyBorder="1" applyAlignment="1">
      <alignment vertical="center"/>
    </xf>
    <xf numFmtId="173" fontId="36" fillId="4" borderId="1" xfId="0" applyNumberFormat="1" applyFont="1" applyFill="1" applyBorder="1" applyAlignment="1">
      <alignment vertical="center"/>
    </xf>
    <xf numFmtId="0" fontId="51" fillId="2" borderId="8" xfId="4" applyFont="1" applyFill="1" applyBorder="1" applyAlignment="1">
      <alignment horizontal="right" vertical="center"/>
    </xf>
    <xf numFmtId="0" fontId="51" fillId="2" borderId="1" xfId="4" applyFont="1" applyFill="1" applyBorder="1" applyAlignment="1">
      <alignment horizontal="right" vertical="center"/>
    </xf>
    <xf numFmtId="173" fontId="39" fillId="4" borderId="1" xfId="0" applyNumberFormat="1" applyFont="1" applyFill="1" applyBorder="1" applyAlignment="1">
      <alignment vertical="center"/>
    </xf>
    <xf numFmtId="173" fontId="39" fillId="15" borderId="49" xfId="0" applyNumberFormat="1" applyFont="1" applyFill="1" applyBorder="1" applyAlignment="1">
      <alignment vertical="center"/>
    </xf>
    <xf numFmtId="173" fontId="39" fillId="2" borderId="1" xfId="0" applyNumberFormat="1" applyFont="1" applyFill="1" applyBorder="1" applyAlignment="1">
      <alignment vertical="center"/>
    </xf>
    <xf numFmtId="168" fontId="15" fillId="0" borderId="34" xfId="0" applyNumberFormat="1" applyFont="1" applyBorder="1" applyAlignment="1">
      <alignment vertical="center"/>
    </xf>
    <xf numFmtId="173" fontId="36" fillId="0" borderId="21" xfId="0" applyNumberFormat="1" applyFont="1" applyBorder="1" applyAlignment="1">
      <alignment vertical="center"/>
    </xf>
    <xf numFmtId="168" fontId="15" fillId="15" borderId="3" xfId="1" applyNumberFormat="1" applyFont="1" applyFill="1" applyBorder="1" applyAlignment="1">
      <alignment vertical="center"/>
    </xf>
    <xf numFmtId="173" fontId="36" fillId="15" borderId="4" xfId="0" applyNumberFormat="1" applyFont="1" applyFill="1" applyBorder="1" applyAlignment="1">
      <alignment vertical="center"/>
    </xf>
    <xf numFmtId="173" fontId="39" fillId="4" borderId="21" xfId="0" applyNumberFormat="1" applyFont="1" applyFill="1" applyBorder="1" applyAlignment="1">
      <alignment vertical="center"/>
    </xf>
    <xf numFmtId="0" fontId="25" fillId="15" borderId="41" xfId="4" applyFont="1" applyFill="1" applyBorder="1" applyAlignment="1">
      <alignment vertical="center"/>
    </xf>
    <xf numFmtId="0" fontId="8" fillId="15" borderId="41" xfId="4" applyFont="1" applyFill="1" applyBorder="1" applyAlignment="1">
      <alignment vertical="center"/>
    </xf>
    <xf numFmtId="0" fontId="8" fillId="15" borderId="0" xfId="4" applyFont="1" applyFill="1" applyAlignment="1">
      <alignment vertical="center"/>
    </xf>
    <xf numFmtId="0" fontId="8" fillId="15" borderId="8" xfId="4" applyFont="1" applyFill="1" applyBorder="1" applyAlignment="1">
      <alignment vertical="center"/>
    </xf>
    <xf numFmtId="168" fontId="8" fillId="15" borderId="41" xfId="1" applyNumberFormat="1" applyFont="1" applyFill="1" applyBorder="1" applyAlignment="1">
      <alignment vertical="center"/>
    </xf>
    <xf numFmtId="173" fontId="39" fillId="15" borderId="42" xfId="0" applyNumberFormat="1" applyFont="1" applyFill="1" applyBorder="1" applyAlignment="1">
      <alignment vertical="center"/>
    </xf>
    <xf numFmtId="167" fontId="0" fillId="0" borderId="0" xfId="1" applyFont="1"/>
    <xf numFmtId="0" fontId="15" fillId="2" borderId="34" xfId="0" applyFont="1" applyFill="1" applyBorder="1" applyAlignment="1">
      <alignment horizontal="left" vertical="center"/>
    </xf>
    <xf numFmtId="168" fontId="47" fillId="15" borderId="3" xfId="1" applyNumberFormat="1" applyFont="1" applyFill="1" applyBorder="1" applyAlignment="1">
      <alignment vertical="center"/>
    </xf>
    <xf numFmtId="173" fontId="40" fillId="15" borderId="4" xfId="0" applyNumberFormat="1" applyFont="1" applyFill="1" applyBorder="1" applyAlignment="1">
      <alignment vertical="center"/>
    </xf>
    <xf numFmtId="0" fontId="53" fillId="15" borderId="3" xfId="4" applyFont="1" applyFill="1" applyBorder="1" applyAlignment="1">
      <alignment vertical="center"/>
    </xf>
    <xf numFmtId="0" fontId="14" fillId="8" borderId="50" xfId="4" applyFont="1" applyFill="1" applyBorder="1" applyAlignment="1">
      <alignment vertical="center" wrapText="1"/>
    </xf>
    <xf numFmtId="168" fontId="9" fillId="0" borderId="6" xfId="1" applyNumberFormat="1" applyFont="1" applyFill="1" applyBorder="1" applyAlignment="1">
      <alignment vertical="center"/>
    </xf>
    <xf numFmtId="0" fontId="9" fillId="0" borderId="8" xfId="4" applyFont="1" applyBorder="1" applyAlignment="1">
      <alignment vertical="center"/>
    </xf>
    <xf numFmtId="0" fontId="0" fillId="0" borderId="1" xfId="0" applyBorder="1" applyProtection="1">
      <protection locked="0"/>
    </xf>
    <xf numFmtId="168" fontId="9" fillId="0" borderId="5" xfId="1" applyNumberFormat="1" applyFont="1" applyFill="1" applyBorder="1" applyAlignment="1">
      <alignment vertical="center"/>
    </xf>
    <xf numFmtId="168" fontId="9" fillId="0" borderId="7" xfId="1" applyNumberFormat="1" applyFont="1" applyFill="1" applyBorder="1" applyAlignment="1">
      <alignment vertical="center"/>
    </xf>
    <xf numFmtId="0" fontId="27" fillId="8" borderId="50" xfId="4" applyFont="1" applyFill="1" applyBorder="1" applyAlignment="1">
      <alignment vertical="center" wrapText="1"/>
    </xf>
    <xf numFmtId="168" fontId="8" fillId="0" borderId="1" xfId="1" applyNumberFormat="1" applyFont="1" applyFill="1" applyBorder="1" applyAlignment="1">
      <alignment vertical="center"/>
    </xf>
    <xf numFmtId="173" fontId="36" fillId="25" borderId="0" xfId="0" applyNumberFormat="1" applyFont="1" applyFill="1" applyAlignment="1">
      <alignment vertical="center"/>
    </xf>
    <xf numFmtId="0" fontId="27" fillId="8" borderId="1" xfId="4" applyFont="1" applyFill="1" applyBorder="1" applyAlignment="1">
      <alignment vertical="center" wrapText="1"/>
    </xf>
    <xf numFmtId="0" fontId="30" fillId="24" borderId="14" xfId="0" applyFont="1" applyFill="1" applyBorder="1" applyAlignment="1">
      <alignment horizontal="center" vertical="center" wrapText="1"/>
    </xf>
    <xf numFmtId="0" fontId="7" fillId="33" borderId="0" xfId="0" applyFont="1" applyFill="1" applyAlignment="1">
      <alignment vertical="center"/>
    </xf>
    <xf numFmtId="0" fontId="32" fillId="33" borderId="0" xfId="0" applyFont="1" applyFill="1" applyAlignment="1">
      <alignment vertical="center" wrapText="1"/>
    </xf>
    <xf numFmtId="0" fontId="9" fillId="33" borderId="0" xfId="0" applyFont="1" applyFill="1"/>
    <xf numFmtId="0" fontId="0" fillId="4" borderId="0" xfId="0" applyFill="1"/>
    <xf numFmtId="168" fontId="38" fillId="33" borderId="7" xfId="0" applyNumberFormat="1" applyFont="1" applyFill="1" applyBorder="1" applyAlignment="1">
      <alignment vertical="center"/>
    </xf>
    <xf numFmtId="173" fontId="36" fillId="4" borderId="21" xfId="0" applyNumberFormat="1" applyFont="1" applyFill="1" applyBorder="1" applyAlignment="1">
      <alignment vertical="center"/>
    </xf>
    <xf numFmtId="0" fontId="30" fillId="0" borderId="26" xfId="0" applyFont="1" applyBorder="1" applyAlignment="1">
      <alignment horizontal="left"/>
    </xf>
    <xf numFmtId="0" fontId="30" fillId="2" borderId="26" xfId="0" applyFont="1" applyFill="1" applyBorder="1" applyAlignment="1">
      <alignment horizontal="left"/>
    </xf>
    <xf numFmtId="0" fontId="30" fillId="0" borderId="58" xfId="0" applyFont="1" applyBorder="1" applyAlignment="1">
      <alignment horizontal="left"/>
    </xf>
    <xf numFmtId="0" fontId="30" fillId="0" borderId="37" xfId="0" applyFont="1" applyBorder="1" applyAlignment="1">
      <alignment horizontal="left"/>
    </xf>
    <xf numFmtId="0" fontId="30" fillId="32" borderId="1" xfId="0" applyFont="1" applyFill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30" fillId="16" borderId="56" xfId="0" applyFont="1" applyFill="1" applyBorder="1" applyAlignment="1">
      <alignment horizontal="center" vertical="center"/>
    </xf>
    <xf numFmtId="0" fontId="0" fillId="0" borderId="1" xfId="0" applyBorder="1"/>
    <xf numFmtId="170" fontId="0" fillId="0" borderId="1" xfId="0" applyNumberFormat="1" applyBorder="1"/>
    <xf numFmtId="170" fontId="3" fillId="0" borderId="1" xfId="0" applyNumberFormat="1" applyFont="1" applyBorder="1"/>
    <xf numFmtId="170" fontId="54" fillId="0" borderId="1" xfId="0" applyNumberFormat="1" applyFont="1" applyBorder="1"/>
    <xf numFmtId="0" fontId="9" fillId="0" borderId="1" xfId="0" applyFont="1" applyBorder="1" applyAlignment="1">
      <alignment vertical="center" wrapText="1"/>
    </xf>
    <xf numFmtId="0" fontId="0" fillId="0" borderId="29" xfId="0" applyBorder="1" applyProtection="1">
      <protection locked="0"/>
    </xf>
    <xf numFmtId="0" fontId="4" fillId="3" borderId="9" xfId="4" applyFill="1" applyBorder="1" applyAlignment="1">
      <alignment vertical="center"/>
    </xf>
    <xf numFmtId="0" fontId="4" fillId="3" borderId="11" xfId="4" applyFill="1" applyBorder="1" applyAlignment="1">
      <alignment vertical="center"/>
    </xf>
    <xf numFmtId="0" fontId="0" fillId="2" borderId="6" xfId="0" applyFill="1" applyBorder="1"/>
    <xf numFmtId="0" fontId="0" fillId="3" borderId="1" xfId="0" applyFill="1" applyBorder="1"/>
    <xf numFmtId="0" fontId="34" fillId="34" borderId="1" xfId="0" applyFont="1" applyFill="1" applyBorder="1"/>
    <xf numFmtId="0" fontId="15" fillId="2" borderId="1" xfId="4" applyFont="1" applyFill="1" applyBorder="1" applyAlignment="1">
      <alignment horizontal="left" vertical="center" wrapText="1"/>
    </xf>
    <xf numFmtId="0" fontId="15" fillId="2" borderId="1" xfId="4" applyFont="1" applyFill="1" applyBorder="1" applyAlignment="1">
      <alignment horizontal="right" vertical="center"/>
    </xf>
    <xf numFmtId="0" fontId="55" fillId="2" borderId="1" xfId="4" applyFont="1" applyFill="1" applyBorder="1" applyAlignment="1">
      <alignment horizontal="right" vertical="center"/>
    </xf>
    <xf numFmtId="0" fontId="7" fillId="0" borderId="9" xfId="4" applyFont="1" applyBorder="1" applyAlignment="1">
      <alignment horizontal="center" vertical="center"/>
    </xf>
    <xf numFmtId="173" fontId="36" fillId="25" borderId="12" xfId="0" applyNumberFormat="1" applyFont="1" applyFill="1" applyBorder="1" applyAlignment="1">
      <alignment vertical="center"/>
    </xf>
    <xf numFmtId="0" fontId="11" fillId="3" borderId="9" xfId="0" applyFont="1" applyFill="1" applyBorder="1" applyAlignment="1">
      <alignment horizontal="center" vertical="center" wrapText="1"/>
    </xf>
    <xf numFmtId="173" fontId="39" fillId="0" borderId="59" xfId="0" applyNumberFormat="1" applyFont="1" applyBorder="1" applyAlignment="1">
      <alignment vertical="center"/>
    </xf>
    <xf numFmtId="173" fontId="39" fillId="0" borderId="20" xfId="0" applyNumberFormat="1" applyFont="1" applyBorder="1" applyAlignment="1">
      <alignment vertical="center"/>
    </xf>
    <xf numFmtId="173" fontId="39" fillId="0" borderId="46" xfId="0" applyNumberFormat="1" applyFont="1" applyBorder="1" applyAlignment="1">
      <alignment vertical="center"/>
    </xf>
    <xf numFmtId="173" fontId="39" fillId="2" borderId="20" xfId="0" applyNumberFormat="1" applyFont="1" applyFill="1" applyBorder="1" applyAlignment="1">
      <alignment vertical="center"/>
    </xf>
    <xf numFmtId="173" fontId="39" fillId="0" borderId="37" xfId="0" applyNumberFormat="1" applyFont="1" applyBorder="1" applyAlignment="1">
      <alignment vertical="center"/>
    </xf>
    <xf numFmtId="173" fontId="39" fillId="0" borderId="60" xfId="0" applyNumberFormat="1" applyFont="1" applyBorder="1" applyAlignment="1">
      <alignment vertical="center"/>
    </xf>
    <xf numFmtId="173" fontId="39" fillId="0" borderId="10" xfId="0" applyNumberFormat="1" applyFont="1" applyBorder="1" applyAlignment="1">
      <alignment vertical="center"/>
    </xf>
    <xf numFmtId="173" fontId="39" fillId="0" borderId="9" xfId="0" applyNumberFormat="1" applyFont="1" applyBorder="1" applyAlignment="1">
      <alignment vertical="center"/>
    </xf>
    <xf numFmtId="173" fontId="39" fillId="15" borderId="53" xfId="0" applyNumberFormat="1" applyFont="1" applyFill="1" applyBorder="1" applyAlignment="1">
      <alignment vertical="center"/>
    </xf>
    <xf numFmtId="168" fontId="45" fillId="4" borderId="9" xfId="1" applyNumberFormat="1" applyFont="1" applyFill="1" applyBorder="1" applyAlignment="1">
      <alignment vertical="center"/>
    </xf>
    <xf numFmtId="173" fontId="39" fillId="3" borderId="1" xfId="0" applyNumberFormat="1" applyFont="1" applyFill="1" applyBorder="1" applyAlignment="1">
      <alignment vertical="center"/>
    </xf>
    <xf numFmtId="0" fontId="4" fillId="3" borderId="9" xfId="4" applyFill="1" applyBorder="1" applyAlignment="1">
      <alignment horizontal="center" vertical="center" wrapText="1"/>
    </xf>
    <xf numFmtId="0" fontId="11" fillId="0" borderId="0" xfId="0" applyFont="1"/>
    <xf numFmtId="0" fontId="0" fillId="3" borderId="9" xfId="0" applyFill="1" applyBorder="1"/>
    <xf numFmtId="0" fontId="34" fillId="34" borderId="34" xfId="0" applyFont="1" applyFill="1" applyBorder="1"/>
    <xf numFmtId="0" fontId="34" fillId="34" borderId="34" xfId="0" applyFont="1" applyFill="1" applyBorder="1" applyAlignment="1">
      <alignment horizontal="center" vertical="center" wrapText="1"/>
    </xf>
    <xf numFmtId="0" fontId="11" fillId="3" borderId="9" xfId="0" applyFont="1" applyFill="1" applyBorder="1"/>
    <xf numFmtId="0" fontId="4" fillId="3" borderId="1" xfId="4" applyFill="1" applyBorder="1" applyAlignment="1">
      <alignment vertical="center" wrapText="1"/>
    </xf>
    <xf numFmtId="43" fontId="4" fillId="2" borderId="0" xfId="9" applyFont="1" applyFill="1" applyBorder="1" applyAlignment="1">
      <alignment vertical="center"/>
    </xf>
    <xf numFmtId="43" fontId="4" fillId="2" borderId="0" xfId="4" applyNumberFormat="1" applyFill="1" applyAlignment="1">
      <alignment vertical="center"/>
    </xf>
    <xf numFmtId="0" fontId="34" fillId="34" borderId="41" xfId="0" applyFont="1" applyFill="1" applyBorder="1" applyAlignment="1">
      <alignment horizontal="center" vertical="center" wrapText="1"/>
    </xf>
    <xf numFmtId="0" fontId="34" fillId="34" borderId="41" xfId="0" applyFont="1" applyFill="1" applyBorder="1"/>
    <xf numFmtId="0" fontId="34" fillId="34" borderId="1" xfId="0" applyFont="1" applyFill="1" applyBorder="1" applyAlignment="1">
      <alignment horizontal="center" vertical="center" wrapText="1"/>
    </xf>
    <xf numFmtId="0" fontId="0" fillId="3" borderId="0" xfId="0" applyFill="1"/>
    <xf numFmtId="0" fontId="44" fillId="4" borderId="40" xfId="0" applyFont="1" applyFill="1" applyBorder="1"/>
    <xf numFmtId="168" fontId="38" fillId="4" borderId="3" xfId="1" applyNumberFormat="1" applyFont="1" applyFill="1" applyBorder="1" applyAlignment="1">
      <alignment vertical="center"/>
    </xf>
    <xf numFmtId="0" fontId="4" fillId="27" borderId="9" xfId="0" applyFont="1" applyFill="1" applyBorder="1" applyAlignment="1">
      <alignment vertical="center"/>
    </xf>
    <xf numFmtId="0" fontId="4" fillId="27" borderId="11" xfId="0" applyFont="1" applyFill="1" applyBorder="1" applyAlignment="1">
      <alignment vertical="center"/>
    </xf>
    <xf numFmtId="0" fontId="4" fillId="27" borderId="6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0" fillId="0" borderId="12" xfId="0" applyFont="1" applyBorder="1" applyAlignment="1" applyProtection="1">
      <alignment horizontal="center" vertical="center"/>
      <protection locked="0"/>
    </xf>
    <xf numFmtId="0" fontId="42" fillId="0" borderId="33" xfId="0" applyFont="1" applyBorder="1" applyAlignment="1">
      <alignment horizontal="center" vertical="center"/>
    </xf>
    <xf numFmtId="0" fontId="4" fillId="34" borderId="34" xfId="0" applyFont="1" applyFill="1" applyBorder="1" applyAlignment="1">
      <alignment vertical="center"/>
    </xf>
    <xf numFmtId="0" fontId="4" fillId="34" borderId="34" xfId="0" applyFont="1" applyFill="1" applyBorder="1" applyAlignment="1">
      <alignment horizontal="center" vertical="center" wrapText="1"/>
    </xf>
    <xf numFmtId="0" fontId="35" fillId="3" borderId="0" xfId="0" applyFont="1" applyFill="1"/>
    <xf numFmtId="0" fontId="4" fillId="34" borderId="1" xfId="0" applyFont="1" applyFill="1" applyBorder="1" applyAlignment="1">
      <alignment vertical="center"/>
    </xf>
    <xf numFmtId="173" fontId="39" fillId="0" borderId="12" xfId="0" applyNumberFormat="1" applyFont="1" applyBorder="1" applyAlignment="1">
      <alignment vertical="center"/>
    </xf>
    <xf numFmtId="173" fontId="36" fillId="30" borderId="12" xfId="0" applyNumberFormat="1" applyFont="1" applyFill="1" applyBorder="1" applyAlignment="1">
      <alignment vertical="center"/>
    </xf>
    <xf numFmtId="0" fontId="15" fillId="0" borderId="9" xfId="4" applyFont="1" applyBorder="1" applyAlignment="1">
      <alignment horizontal="left" vertical="center"/>
    </xf>
    <xf numFmtId="0" fontId="34" fillId="27" borderId="10" xfId="0" applyFont="1" applyFill="1" applyBorder="1" applyAlignment="1">
      <alignment horizontal="center" vertical="center" wrapText="1"/>
    </xf>
    <xf numFmtId="0" fontId="15" fillId="0" borderId="9" xfId="4" applyFont="1" applyBorder="1" applyAlignment="1">
      <alignment horizontal="right" vertical="center"/>
    </xf>
    <xf numFmtId="168" fontId="9" fillId="0" borderId="10" xfId="0" applyNumberFormat="1" applyFont="1" applyBorder="1" applyAlignment="1">
      <alignment vertical="center"/>
    </xf>
    <xf numFmtId="0" fontId="15" fillId="2" borderId="10" xfId="4" applyFont="1" applyFill="1" applyBorder="1" applyAlignment="1">
      <alignment horizontal="left" vertical="center"/>
    </xf>
    <xf numFmtId="173" fontId="39" fillId="2" borderId="12" xfId="0" applyNumberFormat="1" applyFont="1" applyFill="1" applyBorder="1" applyAlignment="1">
      <alignment vertical="center"/>
    </xf>
    <xf numFmtId="173" fontId="36" fillId="4" borderId="9" xfId="0" applyNumberFormat="1" applyFont="1" applyFill="1" applyBorder="1" applyAlignment="1">
      <alignment vertical="center"/>
    </xf>
    <xf numFmtId="173" fontId="36" fillId="3" borderId="1" xfId="0" applyNumberFormat="1" applyFont="1" applyFill="1" applyBorder="1" applyAlignment="1">
      <alignment vertical="center"/>
    </xf>
    <xf numFmtId="0" fontId="15" fillId="3" borderId="1" xfId="4" applyFont="1" applyFill="1" applyBorder="1" applyAlignment="1">
      <alignment horizontal="left" vertical="center"/>
    </xf>
    <xf numFmtId="0" fontId="35" fillId="3" borderId="1" xfId="0" applyFont="1" applyFill="1" applyBorder="1"/>
    <xf numFmtId="0" fontId="4" fillId="34" borderId="0" xfId="0" applyFont="1" applyFill="1" applyAlignment="1">
      <alignment vertical="center"/>
    </xf>
    <xf numFmtId="0" fontId="43" fillId="0" borderId="0" xfId="4" applyFont="1" applyAlignment="1">
      <alignment horizontal="center" vertical="center"/>
    </xf>
    <xf numFmtId="0" fontId="44" fillId="0" borderId="0" xfId="0" applyFont="1"/>
    <xf numFmtId="173" fontId="39" fillId="4" borderId="53" xfId="0" applyNumberFormat="1" applyFont="1" applyFill="1" applyBorder="1" applyAlignment="1">
      <alignment vertical="center"/>
    </xf>
    <xf numFmtId="0" fontId="43" fillId="4" borderId="0" xfId="4" applyFont="1" applyFill="1" applyAlignment="1">
      <alignment horizontal="left" vertical="center"/>
    </xf>
    <xf numFmtId="0" fontId="11" fillId="3" borderId="0" xfId="0" applyFont="1" applyFill="1"/>
    <xf numFmtId="0" fontId="43" fillId="0" borderId="0" xfId="4" applyFont="1" applyAlignment="1">
      <alignment horizontal="left" vertical="center"/>
    </xf>
    <xf numFmtId="168" fontId="45" fillId="0" borderId="0" xfId="1" applyNumberFormat="1" applyFont="1" applyFill="1" applyBorder="1" applyAlignment="1">
      <alignment vertical="center"/>
    </xf>
    <xf numFmtId="0" fontId="9" fillId="34" borderId="0" xfId="0" applyFont="1" applyFill="1"/>
    <xf numFmtId="0" fontId="34" fillId="34" borderId="9" xfId="0" applyFont="1" applyFill="1" applyBorder="1"/>
    <xf numFmtId="0" fontId="35" fillId="3" borderId="9" xfId="0" applyFont="1" applyFill="1" applyBorder="1"/>
    <xf numFmtId="0" fontId="0" fillId="0" borderId="6" xfId="0" applyBorder="1"/>
    <xf numFmtId="0" fontId="8" fillId="15" borderId="3" xfId="4" applyFont="1" applyFill="1" applyBorder="1" applyAlignment="1">
      <alignment horizontal="right" vertical="center"/>
    </xf>
    <xf numFmtId="0" fontId="55" fillId="2" borderId="41" xfId="4" applyFont="1" applyFill="1" applyBorder="1" applyAlignment="1">
      <alignment horizontal="right" vertical="center"/>
    </xf>
    <xf numFmtId="0" fontId="4" fillId="26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4" fillId="34" borderId="10" xfId="0" applyFont="1" applyFill="1" applyBorder="1"/>
    <xf numFmtId="0" fontId="34" fillId="34" borderId="0" xfId="0" applyFont="1" applyFill="1"/>
    <xf numFmtId="0" fontId="42" fillId="0" borderId="12" xfId="0" applyFont="1" applyBorder="1" applyAlignment="1">
      <alignment horizontal="center" vertical="center"/>
    </xf>
    <xf numFmtId="0" fontId="9" fillId="2" borderId="8" xfId="4" applyFont="1" applyFill="1" applyBorder="1" applyAlignment="1">
      <alignment horizontal="left" vertical="center"/>
    </xf>
    <xf numFmtId="0" fontId="9" fillId="2" borderId="8" xfId="4" applyFont="1" applyFill="1" applyBorder="1" applyAlignment="1">
      <alignment horizontal="right" vertical="center"/>
    </xf>
    <xf numFmtId="0" fontId="9" fillId="2" borderId="1" xfId="4" applyFont="1" applyFill="1" applyBorder="1" applyAlignment="1">
      <alignment horizontal="left" vertical="center"/>
    </xf>
    <xf numFmtId="0" fontId="9" fillId="2" borderId="1" xfId="4" applyFont="1" applyFill="1" applyBorder="1" applyAlignment="1">
      <alignment horizontal="right" vertical="center"/>
    </xf>
    <xf numFmtId="0" fontId="7" fillId="26" borderId="13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168" fontId="4" fillId="2" borderId="34" xfId="0" applyNumberFormat="1" applyFont="1" applyFill="1" applyBorder="1" applyAlignment="1">
      <alignment vertical="center"/>
    </xf>
    <xf numFmtId="0" fontId="4" fillId="27" borderId="10" xfId="0" applyFont="1" applyFill="1" applyBorder="1" applyAlignment="1">
      <alignment horizontal="center" vertical="center" wrapText="1"/>
    </xf>
    <xf numFmtId="0" fontId="4" fillId="34" borderId="10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11" fillId="3" borderId="29" xfId="0" applyFont="1" applyFill="1" applyBorder="1"/>
    <xf numFmtId="0" fontId="11" fillId="3" borderId="50" xfId="0" applyFont="1" applyFill="1" applyBorder="1"/>
    <xf numFmtId="0" fontId="30" fillId="15" borderId="2" xfId="4" applyFont="1" applyFill="1" applyBorder="1" applyAlignment="1">
      <alignment vertical="center"/>
    </xf>
    <xf numFmtId="168" fontId="7" fillId="0" borderId="1" xfId="1" applyNumberFormat="1" applyFont="1" applyFill="1" applyBorder="1" applyAlignment="1">
      <alignment horizontal="center" vertical="center"/>
    </xf>
    <xf numFmtId="0" fontId="7" fillId="0" borderId="1" xfId="4" applyFont="1" applyBorder="1" applyAlignment="1">
      <alignment vertical="center"/>
    </xf>
    <xf numFmtId="0" fontId="15" fillId="0" borderId="1" xfId="4" applyFont="1" applyBorder="1" applyAlignment="1">
      <alignment vertical="center" wrapText="1"/>
    </xf>
    <xf numFmtId="173" fontId="39" fillId="15" borderId="61" xfId="0" applyNumberFormat="1" applyFont="1" applyFill="1" applyBorder="1" applyAlignment="1">
      <alignment vertical="center"/>
    </xf>
    <xf numFmtId="173" fontId="40" fillId="4" borderId="9" xfId="0" applyNumberFormat="1" applyFont="1" applyFill="1" applyBorder="1" applyAlignment="1">
      <alignment vertical="center"/>
    </xf>
    <xf numFmtId="173" fontId="6" fillId="28" borderId="1" xfId="0" applyNumberFormat="1" applyFont="1" applyFill="1" applyBorder="1" applyAlignment="1">
      <alignment vertical="center"/>
    </xf>
    <xf numFmtId="0" fontId="9" fillId="2" borderId="41" xfId="4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4" fillId="34" borderId="1" xfId="0" applyFont="1" applyFill="1" applyBorder="1" applyAlignment="1">
      <alignment horizontal="center" vertical="center" wrapText="1"/>
    </xf>
    <xf numFmtId="0" fontId="9" fillId="2" borderId="41" xfId="4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0" xfId="4" applyFont="1" applyBorder="1" applyAlignment="1">
      <alignment horizontal="left" vertical="center"/>
    </xf>
    <xf numFmtId="0" fontId="7" fillId="0" borderId="1" xfId="4" applyFont="1" applyBorder="1" applyAlignment="1">
      <alignment horizontal="left" vertical="center"/>
    </xf>
    <xf numFmtId="173" fontId="48" fillId="2" borderId="21" xfId="0" applyNumberFormat="1" applyFont="1" applyFill="1" applyBorder="1" applyAlignment="1">
      <alignment vertical="center"/>
    </xf>
    <xf numFmtId="0" fontId="15" fillId="10" borderId="1" xfId="4" applyFont="1" applyFill="1" applyBorder="1" applyAlignment="1">
      <alignment horizontal="left" vertical="center"/>
    </xf>
    <xf numFmtId="173" fontId="49" fillId="0" borderId="12" xfId="0" applyNumberFormat="1" applyFont="1" applyBorder="1" applyAlignment="1">
      <alignment vertical="center"/>
    </xf>
    <xf numFmtId="0" fontId="7" fillId="0" borderId="21" xfId="4" applyFont="1" applyBorder="1" applyAlignment="1">
      <alignment horizontal="center" vertical="center"/>
    </xf>
    <xf numFmtId="0" fontId="7" fillId="9" borderId="9" xfId="4" applyFont="1" applyFill="1" applyBorder="1" applyAlignment="1">
      <alignment horizontal="center" vertical="center"/>
    </xf>
    <xf numFmtId="173" fontId="46" fillId="4" borderId="9" xfId="0" applyNumberFormat="1" applyFont="1" applyFill="1" applyBorder="1" applyAlignment="1">
      <alignment vertical="center"/>
    </xf>
    <xf numFmtId="0" fontId="7" fillId="5" borderId="2" xfId="4" applyFont="1" applyFill="1" applyBorder="1" applyAlignment="1">
      <alignment vertical="center"/>
    </xf>
    <xf numFmtId="0" fontId="15" fillId="5" borderId="3" xfId="4" applyFont="1" applyFill="1" applyBorder="1" applyAlignment="1">
      <alignment vertical="center" wrapText="1"/>
    </xf>
    <xf numFmtId="168" fontId="7" fillId="0" borderId="3" xfId="1" applyNumberFormat="1" applyFont="1" applyFill="1" applyBorder="1" applyAlignment="1">
      <alignment horizontal="center" vertical="center"/>
    </xf>
    <xf numFmtId="168" fontId="7" fillId="0" borderId="4" xfId="1" applyNumberFormat="1" applyFont="1" applyFill="1" applyBorder="1" applyAlignment="1">
      <alignment horizontal="center" vertical="center"/>
    </xf>
    <xf numFmtId="0" fontId="8" fillId="15" borderId="48" xfId="4" applyFont="1" applyFill="1" applyBorder="1" applyAlignment="1">
      <alignment vertical="center"/>
    </xf>
    <xf numFmtId="168" fontId="11" fillId="3" borderId="1" xfId="0" applyNumberFormat="1" applyFont="1" applyFill="1" applyBorder="1"/>
    <xf numFmtId="0" fontId="14" fillId="25" borderId="29" xfId="4" applyFont="1" applyFill="1" applyBorder="1" applyAlignment="1">
      <alignment vertical="center"/>
    </xf>
    <xf numFmtId="0" fontId="15" fillId="25" borderId="1" xfId="4" applyFont="1" applyFill="1" applyBorder="1" applyAlignment="1">
      <alignment horizontal="left" vertical="center"/>
    </xf>
    <xf numFmtId="0" fontId="0" fillId="25" borderId="1" xfId="0" applyFill="1" applyBorder="1"/>
    <xf numFmtId="168" fontId="9" fillId="25" borderId="1" xfId="1" applyNumberFormat="1" applyFont="1" applyFill="1" applyBorder="1" applyAlignment="1">
      <alignment vertical="center"/>
    </xf>
    <xf numFmtId="0" fontId="0" fillId="25" borderId="9" xfId="0" applyFill="1" applyBorder="1"/>
    <xf numFmtId="170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center"/>
    </xf>
    <xf numFmtId="170" fontId="0" fillId="0" borderId="64" xfId="0" applyNumberFormat="1" applyBorder="1"/>
    <xf numFmtId="167" fontId="0" fillId="0" borderId="65" xfId="1" applyFont="1" applyBorder="1"/>
    <xf numFmtId="164" fontId="0" fillId="0" borderId="65" xfId="0" applyNumberFormat="1" applyBorder="1"/>
    <xf numFmtId="0" fontId="0" fillId="0" borderId="28" xfId="0" applyBorder="1" applyAlignment="1">
      <alignment horizontal="center"/>
    </xf>
    <xf numFmtId="170" fontId="0" fillId="0" borderId="66" xfId="0" applyNumberFormat="1" applyBorder="1"/>
    <xf numFmtId="170" fontId="54" fillId="0" borderId="66" xfId="0" applyNumberFormat="1" applyFont="1" applyBorder="1"/>
    <xf numFmtId="165" fontId="0" fillId="0" borderId="66" xfId="0" applyNumberFormat="1" applyBorder="1"/>
    <xf numFmtId="0" fontId="0" fillId="0" borderId="64" xfId="0" applyBorder="1" applyAlignment="1">
      <alignment horizontal="center"/>
    </xf>
    <xf numFmtId="0" fontId="0" fillId="0" borderId="67" xfId="0" applyBorder="1"/>
    <xf numFmtId="170" fontId="3" fillId="0" borderId="67" xfId="0" applyNumberFormat="1" applyFont="1" applyBorder="1"/>
    <xf numFmtId="165" fontId="0" fillId="0" borderId="65" xfId="0" applyNumberFormat="1" applyBorder="1"/>
    <xf numFmtId="167" fontId="3" fillId="0" borderId="0" xfId="1" applyFont="1" applyAlignment="1">
      <alignment horizontal="center"/>
    </xf>
    <xf numFmtId="1" fontId="9" fillId="0" borderId="1" xfId="4" applyNumberFormat="1" applyFont="1" applyBorder="1" applyAlignment="1">
      <alignment vertical="center"/>
    </xf>
    <xf numFmtId="0" fontId="0" fillId="2" borderId="29" xfId="0" applyFill="1" applyBorder="1" applyProtection="1">
      <protection locked="0"/>
    </xf>
    <xf numFmtId="0" fontId="11" fillId="30" borderId="1" xfId="0" applyFont="1" applyFill="1" applyBorder="1"/>
    <xf numFmtId="168" fontId="7" fillId="30" borderId="1" xfId="1" applyNumberFormat="1" applyFont="1" applyFill="1" applyBorder="1" applyAlignment="1">
      <alignment vertical="center"/>
    </xf>
    <xf numFmtId="174" fontId="4" fillId="3" borderId="0" xfId="1" applyNumberFormat="1" applyFont="1" applyFill="1" applyAlignment="1">
      <alignment horizontal="center" vertical="center"/>
    </xf>
    <xf numFmtId="174" fontId="4" fillId="3" borderId="11" xfId="1" applyNumberFormat="1" applyFont="1" applyFill="1" applyBorder="1" applyAlignment="1">
      <alignment horizontal="center" vertical="center"/>
    </xf>
    <xf numFmtId="174" fontId="4" fillId="3" borderId="6" xfId="1" applyNumberFormat="1" applyFont="1" applyFill="1" applyBorder="1" applyAlignment="1">
      <alignment horizontal="center" vertical="center"/>
    </xf>
    <xf numFmtId="174" fontId="57" fillId="30" borderId="1" xfId="1" applyNumberFormat="1" applyFont="1" applyFill="1" applyBorder="1" applyAlignment="1">
      <alignment horizontal="center"/>
    </xf>
    <xf numFmtId="168" fontId="7" fillId="30" borderId="1" xfId="1" applyNumberFormat="1" applyFont="1" applyFill="1" applyBorder="1" applyAlignment="1">
      <alignment horizontal="center" vertical="center"/>
    </xf>
    <xf numFmtId="174" fontId="11" fillId="30" borderId="1" xfId="1" applyNumberFormat="1" applyFont="1" applyFill="1" applyBorder="1" applyAlignment="1">
      <alignment horizontal="center"/>
    </xf>
    <xf numFmtId="174" fontId="0" fillId="30" borderId="1" xfId="1" applyNumberFormat="1" applyFont="1" applyFill="1" applyBorder="1" applyAlignment="1">
      <alignment horizontal="center"/>
    </xf>
    <xf numFmtId="174" fontId="4" fillId="30" borderId="1" xfId="1" applyNumberFormat="1" applyFont="1" applyFill="1" applyBorder="1" applyAlignment="1">
      <alignment horizontal="center" vertical="center"/>
    </xf>
    <xf numFmtId="174" fontId="11" fillId="3" borderId="0" xfId="1" applyNumberFormat="1" applyFont="1" applyFill="1" applyAlignment="1">
      <alignment horizontal="center"/>
    </xf>
    <xf numFmtId="174" fontId="0" fillId="0" borderId="0" xfId="1" applyNumberFormat="1" applyFont="1" applyAlignment="1">
      <alignment horizontal="center"/>
    </xf>
    <xf numFmtId="0" fontId="4" fillId="3" borderId="0" xfId="4" applyFill="1" applyAlignment="1">
      <alignment horizontal="center" vertical="center"/>
    </xf>
    <xf numFmtId="0" fontId="4" fillId="3" borderId="9" xfId="4" applyFill="1" applyBorder="1" applyAlignment="1">
      <alignment horizontal="center" vertical="center"/>
    </xf>
    <xf numFmtId="0" fontId="4" fillId="3" borderId="1" xfId="4" applyFill="1" applyBorder="1" applyAlignment="1">
      <alignment horizontal="center" vertical="center"/>
    </xf>
    <xf numFmtId="0" fontId="57" fillId="30" borderId="1" xfId="0" applyFont="1" applyFill="1" applyBorder="1" applyAlignment="1">
      <alignment horizontal="center"/>
    </xf>
    <xf numFmtId="0" fontId="11" fillId="30" borderId="1" xfId="0" applyFont="1" applyFill="1" applyBorder="1" applyAlignment="1">
      <alignment horizontal="center"/>
    </xf>
    <xf numFmtId="0" fontId="0" fillId="30" borderId="1" xfId="0" applyFill="1" applyBorder="1" applyAlignment="1">
      <alignment horizontal="center"/>
    </xf>
    <xf numFmtId="0" fontId="4" fillId="30" borderId="1" xfId="4" applyFill="1" applyBorder="1" applyAlignment="1">
      <alignment horizontal="center" vertical="center"/>
    </xf>
    <xf numFmtId="168" fontId="11" fillId="30" borderId="1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30" borderId="1" xfId="4" applyFont="1" applyFill="1" applyBorder="1" applyAlignment="1">
      <alignment vertical="center"/>
    </xf>
    <xf numFmtId="0" fontId="14" fillId="9" borderId="1" xfId="4" applyFont="1" applyFill="1" applyBorder="1" applyAlignment="1">
      <alignment vertical="center" wrapText="1"/>
    </xf>
    <xf numFmtId="0" fontId="9" fillId="9" borderId="1" xfId="4" applyFont="1" applyFill="1" applyBorder="1" applyAlignment="1">
      <alignment vertical="center"/>
    </xf>
    <xf numFmtId="168" fontId="9" fillId="9" borderId="1" xfId="1" applyNumberFormat="1" applyFont="1" applyFill="1" applyBorder="1" applyAlignment="1">
      <alignment vertical="center"/>
    </xf>
    <xf numFmtId="0" fontId="14" fillId="35" borderId="1" xfId="4" applyFont="1" applyFill="1" applyBorder="1" applyAlignment="1">
      <alignment vertical="center" wrapText="1"/>
    </xf>
    <xf numFmtId="0" fontId="9" fillId="35" borderId="1" xfId="4" applyFont="1" applyFill="1" applyBorder="1" applyAlignment="1">
      <alignment vertical="center"/>
    </xf>
    <xf numFmtId="168" fontId="9" fillId="35" borderId="1" xfId="4" applyNumberFormat="1" applyFont="1" applyFill="1" applyBorder="1" applyAlignment="1">
      <alignment vertical="center" wrapText="1"/>
    </xf>
    <xf numFmtId="168" fontId="9" fillId="35" borderId="1" xfId="1" applyNumberFormat="1" applyFont="1" applyFill="1" applyBorder="1" applyAlignment="1">
      <alignment vertical="center"/>
    </xf>
    <xf numFmtId="0" fontId="14" fillId="35" borderId="1" xfId="4" applyFont="1" applyFill="1" applyBorder="1" applyAlignment="1">
      <alignment vertical="center"/>
    </xf>
    <xf numFmtId="168" fontId="7" fillId="30" borderId="1" xfId="4" applyNumberFormat="1" applyFont="1" applyFill="1" applyBorder="1" applyAlignment="1">
      <alignment vertical="center" wrapText="1"/>
    </xf>
    <xf numFmtId="168" fontId="9" fillId="2" borderId="29" xfId="4" applyNumberFormat="1" applyFont="1" applyFill="1" applyBorder="1" applyAlignment="1">
      <alignment vertical="center" wrapText="1"/>
    </xf>
    <xf numFmtId="168" fontId="7" fillId="9" borderId="1" xfId="1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174" fontId="4" fillId="9" borderId="1" xfId="1" applyNumberFormat="1" applyFont="1" applyFill="1" applyBorder="1" applyAlignment="1">
      <alignment horizontal="center" vertical="center"/>
    </xf>
    <xf numFmtId="0" fontId="4" fillId="9" borderId="1" xfId="4" applyFill="1" applyBorder="1" applyAlignment="1">
      <alignment horizontal="center" vertical="center"/>
    </xf>
    <xf numFmtId="168" fontId="9" fillId="0" borderId="11" xfId="0" applyNumberFormat="1" applyFont="1" applyBorder="1" applyAlignment="1">
      <alignment vertical="center"/>
    </xf>
    <xf numFmtId="0" fontId="9" fillId="35" borderId="1" xfId="4" applyFont="1" applyFill="1" applyBorder="1" applyAlignment="1">
      <alignment vertical="center" wrapText="1"/>
    </xf>
    <xf numFmtId="168" fontId="9" fillId="35" borderId="9" xfId="1" applyNumberFormat="1" applyFont="1" applyFill="1" applyBorder="1" applyAlignment="1">
      <alignment vertical="center"/>
    </xf>
    <xf numFmtId="0" fontId="55" fillId="2" borderId="0" xfId="4" applyFont="1" applyFill="1" applyAlignment="1">
      <alignment horizontal="right" vertical="center"/>
    </xf>
    <xf numFmtId="168" fontId="9" fillId="2" borderId="10" xfId="0" applyNumberFormat="1" applyFont="1" applyFill="1" applyBorder="1" applyAlignment="1">
      <alignment vertical="center"/>
    </xf>
    <xf numFmtId="0" fontId="57" fillId="30" borderId="1" xfId="0" applyFont="1" applyFill="1" applyBorder="1" applyAlignment="1">
      <alignment horizontal="center" wrapText="1"/>
    </xf>
    <xf numFmtId="0" fontId="15" fillId="2" borderId="50" xfId="4" applyFont="1" applyFill="1" applyBorder="1" applyAlignment="1">
      <alignment horizontal="left" vertical="center"/>
    </xf>
    <xf numFmtId="0" fontId="25" fillId="15" borderId="46" xfId="4" applyFont="1" applyFill="1" applyBorder="1" applyAlignment="1">
      <alignment vertical="center"/>
    </xf>
    <xf numFmtId="0" fontId="25" fillId="15" borderId="1" xfId="4" applyFont="1" applyFill="1" applyBorder="1" applyAlignment="1">
      <alignment vertical="center"/>
    </xf>
    <xf numFmtId="168" fontId="59" fillId="4" borderId="3" xfId="1" applyNumberFormat="1" applyFont="1" applyFill="1" applyBorder="1" applyAlignment="1">
      <alignment vertical="center"/>
    </xf>
    <xf numFmtId="168" fontId="9" fillId="2" borderId="41" xfId="0" applyNumberFormat="1" applyFont="1" applyFill="1" applyBorder="1" applyAlignment="1">
      <alignment vertical="center"/>
    </xf>
    <xf numFmtId="168" fontId="9" fillId="2" borderId="1" xfId="0" applyNumberFormat="1" applyFont="1" applyFill="1" applyBorder="1" applyAlignment="1">
      <alignment vertical="center"/>
    </xf>
    <xf numFmtId="0" fontId="8" fillId="2" borderId="54" xfId="4" applyFont="1" applyFill="1" applyBorder="1" applyAlignment="1">
      <alignment vertical="center"/>
    </xf>
    <xf numFmtId="168" fontId="8" fillId="2" borderId="54" xfId="1" applyNumberFormat="1" applyFont="1" applyFill="1" applyBorder="1" applyAlignment="1">
      <alignment vertical="center"/>
    </xf>
    <xf numFmtId="173" fontId="39" fillId="2" borderId="55" xfId="0" applyNumberFormat="1" applyFont="1" applyFill="1" applyBorder="1" applyAlignment="1">
      <alignment vertical="center"/>
    </xf>
    <xf numFmtId="0" fontId="44" fillId="2" borderId="6" xfId="0" applyFont="1" applyFill="1" applyBorder="1"/>
    <xf numFmtId="168" fontId="7" fillId="30" borderId="6" xfId="1" applyNumberFormat="1" applyFont="1" applyFill="1" applyBorder="1" applyAlignment="1">
      <alignment horizontal="center" vertical="center"/>
    </xf>
    <xf numFmtId="173" fontId="39" fillId="15" borderId="1" xfId="0" applyNumberFormat="1" applyFont="1" applyFill="1" applyBorder="1" applyAlignment="1">
      <alignment vertical="center"/>
    </xf>
    <xf numFmtId="168" fontId="8" fillId="15" borderId="53" xfId="1" applyNumberFormat="1" applyFont="1" applyFill="1" applyBorder="1" applyAlignment="1">
      <alignment vertical="center"/>
    </xf>
    <xf numFmtId="168" fontId="15" fillId="25" borderId="6" xfId="1" applyNumberFormat="1" applyFont="1" applyFill="1" applyBorder="1" applyAlignment="1">
      <alignment vertical="center"/>
    </xf>
    <xf numFmtId="173" fontId="49" fillId="0" borderId="7" xfId="0" applyNumberFormat="1" applyFont="1" applyBorder="1" applyAlignment="1">
      <alignment vertical="center"/>
    </xf>
    <xf numFmtId="173" fontId="39" fillId="15" borderId="33" xfId="0" applyNumberFormat="1" applyFont="1" applyFill="1" applyBorder="1" applyAlignment="1">
      <alignment vertical="center"/>
    </xf>
    <xf numFmtId="0" fontId="47" fillId="3" borderId="1" xfId="4" applyFont="1" applyFill="1" applyBorder="1" applyAlignment="1">
      <alignment horizontal="center" vertical="center"/>
    </xf>
    <xf numFmtId="0" fontId="47" fillId="3" borderId="1" xfId="4" applyFont="1" applyFill="1" applyBorder="1" applyAlignment="1">
      <alignment horizontal="center" vertical="center" wrapText="1"/>
    </xf>
    <xf numFmtId="168" fontId="15" fillId="5" borderId="53" xfId="1" applyNumberFormat="1" applyFont="1" applyFill="1" applyBorder="1" applyAlignment="1">
      <alignment horizontal="left" vertical="center"/>
    </xf>
    <xf numFmtId="168" fontId="15" fillId="5" borderId="1" xfId="1" applyNumberFormat="1" applyFont="1" applyFill="1" applyBorder="1" applyAlignment="1">
      <alignment horizontal="left" vertical="center"/>
    </xf>
    <xf numFmtId="0" fontId="15" fillId="0" borderId="29" xfId="4" applyFont="1" applyBorder="1" applyAlignment="1">
      <alignment horizontal="left" vertical="center"/>
    </xf>
    <xf numFmtId="0" fontId="25" fillId="2" borderId="1" xfId="4" applyFont="1" applyFill="1" applyBorder="1" applyAlignment="1">
      <alignment vertical="center"/>
    </xf>
    <xf numFmtId="0" fontId="41" fillId="31" borderId="1" xfId="0" applyFont="1" applyFill="1" applyBorder="1" applyAlignment="1">
      <alignment vertical="center"/>
    </xf>
    <xf numFmtId="168" fontId="7" fillId="4" borderId="1" xfId="1" applyNumberFormat="1" applyFont="1" applyFill="1" applyBorder="1" applyAlignment="1">
      <alignment horizontal="center" vertical="center"/>
    </xf>
    <xf numFmtId="168" fontId="9" fillId="9" borderId="1" xfId="4" applyNumberFormat="1" applyFont="1" applyFill="1" applyBorder="1" applyAlignment="1">
      <alignment vertical="center" wrapText="1"/>
    </xf>
    <xf numFmtId="0" fontId="48" fillId="36" borderId="34" xfId="0" applyFont="1" applyFill="1" applyBorder="1" applyAlignment="1">
      <alignment vertical="center" wrapText="1"/>
    </xf>
    <xf numFmtId="0" fontId="9" fillId="9" borderId="34" xfId="0" applyFont="1" applyFill="1" applyBorder="1" applyAlignment="1">
      <alignment vertical="center"/>
    </xf>
    <xf numFmtId="0" fontId="9" fillId="9" borderId="34" xfId="0" applyFont="1" applyFill="1" applyBorder="1" applyAlignment="1">
      <alignment vertical="center" wrapText="1"/>
    </xf>
    <xf numFmtId="168" fontId="9" fillId="9" borderId="34" xfId="0" applyNumberFormat="1" applyFont="1" applyFill="1" applyBorder="1" applyAlignment="1">
      <alignment vertical="center"/>
    </xf>
    <xf numFmtId="168" fontId="8" fillId="9" borderId="34" xfId="0" applyNumberFormat="1" applyFont="1" applyFill="1" applyBorder="1" applyAlignment="1">
      <alignment vertical="center"/>
    </xf>
    <xf numFmtId="173" fontId="39" fillId="9" borderId="12" xfId="0" applyNumberFormat="1" applyFont="1" applyFill="1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7" xfId="0" applyBorder="1"/>
    <xf numFmtId="170" fontId="0" fillId="0" borderId="7" xfId="0" applyNumberFormat="1" applyBorder="1"/>
    <xf numFmtId="170" fontId="0" fillId="0" borderId="70" xfId="0" applyNumberFormat="1" applyBorder="1"/>
    <xf numFmtId="165" fontId="0" fillId="0" borderId="1" xfId="0" applyNumberFormat="1" applyBorder="1"/>
    <xf numFmtId="165" fontId="0" fillId="0" borderId="67" xfId="0" applyNumberFormat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61" fillId="9" borderId="1" xfId="4" applyFont="1" applyFill="1" applyBorder="1" applyAlignment="1">
      <alignment horizontal="left" vertical="center"/>
    </xf>
    <xf numFmtId="0" fontId="26" fillId="9" borderId="1" xfId="4" applyFont="1" applyFill="1" applyBorder="1" applyAlignment="1">
      <alignment horizontal="center" vertical="center"/>
    </xf>
    <xf numFmtId="168" fontId="60" fillId="9" borderId="1" xfId="1" applyNumberFormat="1" applyFont="1" applyFill="1" applyBorder="1" applyAlignment="1">
      <alignment vertical="center"/>
    </xf>
    <xf numFmtId="0" fontId="60" fillId="9" borderId="8" xfId="4" applyFont="1" applyFill="1" applyBorder="1" applyAlignment="1">
      <alignment horizontal="right" vertical="center"/>
    </xf>
    <xf numFmtId="0" fontId="47" fillId="9" borderId="1" xfId="4" applyFont="1" applyFill="1" applyBorder="1" applyAlignment="1">
      <alignment horizontal="center" vertical="center"/>
    </xf>
    <xf numFmtId="0" fontId="47" fillId="9" borderId="1" xfId="4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168" fontId="14" fillId="2" borderId="1" xfId="1" applyNumberFormat="1" applyFont="1" applyFill="1" applyBorder="1" applyAlignment="1">
      <alignment vertical="center"/>
    </xf>
    <xf numFmtId="0" fontId="14" fillId="2" borderId="34" xfId="0" applyFont="1" applyFill="1" applyBorder="1" applyAlignment="1">
      <alignment vertical="center" wrapText="1"/>
    </xf>
    <xf numFmtId="168" fontId="14" fillId="2" borderId="34" xfId="0" applyNumberFormat="1" applyFont="1" applyFill="1" applyBorder="1" applyAlignment="1">
      <alignment vertical="center"/>
    </xf>
    <xf numFmtId="0" fontId="14" fillId="2" borderId="8" xfId="4" applyFont="1" applyFill="1" applyBorder="1" applyAlignment="1">
      <alignment horizontal="left" vertical="center"/>
    </xf>
    <xf numFmtId="168" fontId="14" fillId="2" borderId="1" xfId="4" applyNumberFormat="1" applyFont="1" applyFill="1" applyBorder="1" applyAlignment="1">
      <alignment vertical="center" wrapText="1"/>
    </xf>
    <xf numFmtId="3" fontId="7" fillId="9" borderId="1" xfId="0" applyNumberFormat="1" applyFont="1" applyFill="1" applyBorder="1"/>
    <xf numFmtId="0" fontId="12" fillId="9" borderId="17" xfId="0" applyFont="1" applyFill="1" applyBorder="1" applyAlignment="1">
      <alignment horizontal="center" wrapText="1"/>
    </xf>
    <xf numFmtId="0" fontId="12" fillId="9" borderId="36" xfId="0" applyFont="1" applyFill="1" applyBorder="1" applyAlignment="1">
      <alignment horizontal="center" wrapText="1"/>
    </xf>
    <xf numFmtId="0" fontId="12" fillId="9" borderId="17" xfId="0" applyFont="1" applyFill="1" applyBorder="1" applyAlignment="1">
      <alignment horizontal="center" vertical="center" wrapText="1"/>
    </xf>
    <xf numFmtId="0" fontId="12" fillId="9" borderId="36" xfId="0" applyFont="1" applyFill="1" applyBorder="1" applyAlignment="1">
      <alignment horizontal="center" vertical="center" wrapText="1"/>
    </xf>
    <xf numFmtId="0" fontId="33" fillId="9" borderId="17" xfId="0" applyFont="1" applyFill="1" applyBorder="1" applyAlignment="1">
      <alignment horizontal="center" wrapText="1"/>
    </xf>
    <xf numFmtId="0" fontId="33" fillId="9" borderId="36" xfId="0" applyFont="1" applyFill="1" applyBorder="1" applyAlignment="1">
      <alignment horizont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35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33" fillId="9" borderId="15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33" fillId="9" borderId="17" xfId="0" applyFont="1" applyFill="1" applyBorder="1" applyAlignment="1">
      <alignment horizontal="center" vertical="center" wrapText="1"/>
    </xf>
    <xf numFmtId="0" fontId="33" fillId="9" borderId="36" xfId="0" applyFont="1" applyFill="1" applyBorder="1" applyAlignment="1">
      <alignment horizontal="center" vertical="center" wrapText="1"/>
    </xf>
    <xf numFmtId="0" fontId="33" fillId="9" borderId="12" xfId="0" applyFont="1" applyFill="1" applyBorder="1" applyAlignment="1">
      <alignment horizontal="center" vertical="center"/>
    </xf>
    <xf numFmtId="0" fontId="33" fillId="9" borderId="18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2" fontId="5" fillId="11" borderId="15" xfId="0" applyNumberFormat="1" applyFont="1" applyFill="1" applyBorder="1" applyAlignment="1">
      <alignment horizontal="center" vertical="center" wrapText="1"/>
    </xf>
    <xf numFmtId="2" fontId="5" fillId="11" borderId="19" xfId="0" applyNumberFormat="1" applyFont="1" applyFill="1" applyBorder="1" applyAlignment="1">
      <alignment horizontal="center" vertical="center" wrapText="1"/>
    </xf>
    <xf numFmtId="2" fontId="5" fillId="11" borderId="16" xfId="0" applyNumberFormat="1" applyFont="1" applyFill="1" applyBorder="1" applyAlignment="1">
      <alignment horizontal="center" vertical="center" wrapText="1"/>
    </xf>
    <xf numFmtId="2" fontId="5" fillId="11" borderId="20" xfId="0" applyNumberFormat="1" applyFont="1" applyFill="1" applyBorder="1" applyAlignment="1">
      <alignment horizontal="center" vertical="center" wrapText="1"/>
    </xf>
    <xf numFmtId="169" fontId="26" fillId="12" borderId="16" xfId="1" applyNumberFormat="1" applyFont="1" applyFill="1" applyBorder="1" applyAlignment="1">
      <alignment horizontal="center" vertical="center" wrapText="1"/>
    </xf>
    <xf numFmtId="169" fontId="26" fillId="12" borderId="14" xfId="1" applyNumberFormat="1" applyFont="1" applyFill="1" applyBorder="1" applyAlignment="1">
      <alignment horizontal="center" vertical="center" wrapText="1"/>
    </xf>
    <xf numFmtId="169" fontId="26" fillId="12" borderId="17" xfId="1" applyNumberFormat="1" applyFont="1" applyFill="1" applyBorder="1" applyAlignment="1">
      <alignment horizontal="center" vertical="center" wrapText="1"/>
    </xf>
    <xf numFmtId="0" fontId="27" fillId="13" borderId="47" xfId="0" applyFont="1" applyFill="1" applyBorder="1" applyAlignment="1">
      <alignment horizontal="center" vertical="center" wrapText="1"/>
    </xf>
    <xf numFmtId="0" fontId="27" fillId="13" borderId="48" xfId="0" applyFont="1" applyFill="1" applyBorder="1" applyAlignment="1">
      <alignment horizontal="center" vertical="center" wrapText="1"/>
    </xf>
    <xf numFmtId="0" fontId="27" fillId="13" borderId="49" xfId="0" applyFont="1" applyFill="1" applyBorder="1" applyAlignment="1">
      <alignment horizontal="center" vertical="center" wrapText="1"/>
    </xf>
    <xf numFmtId="0" fontId="7" fillId="26" borderId="12" xfId="0" applyFont="1" applyFill="1" applyBorder="1" applyAlignment="1">
      <alignment horizontal="center" vertical="center"/>
    </xf>
    <xf numFmtId="0" fontId="7" fillId="26" borderId="13" xfId="0" applyFont="1" applyFill="1" applyBorder="1" applyAlignment="1">
      <alignment horizontal="center" vertical="center"/>
    </xf>
    <xf numFmtId="0" fontId="4" fillId="27" borderId="50" xfId="0" applyFont="1" applyFill="1" applyBorder="1" applyAlignment="1">
      <alignment horizontal="center" vertical="center" wrapText="1"/>
    </xf>
    <xf numFmtId="0" fontId="4" fillId="27" borderId="21" xfId="0" applyFont="1" applyFill="1" applyBorder="1" applyAlignment="1">
      <alignment horizontal="center" vertical="center" wrapText="1"/>
    </xf>
    <xf numFmtId="0" fontId="43" fillId="4" borderId="46" xfId="4" applyFont="1" applyFill="1" applyBorder="1" applyAlignment="1">
      <alignment horizontal="center" vertical="center"/>
    </xf>
    <xf numFmtId="0" fontId="43" fillId="4" borderId="56" xfId="4" applyFont="1" applyFill="1" applyBorder="1" applyAlignment="1">
      <alignment horizontal="center" vertical="center"/>
    </xf>
    <xf numFmtId="0" fontId="43" fillId="4" borderId="57" xfId="4" applyFont="1" applyFill="1" applyBorder="1" applyAlignment="1">
      <alignment horizontal="center" vertical="center"/>
    </xf>
    <xf numFmtId="0" fontId="15" fillId="30" borderId="12" xfId="4" applyFont="1" applyFill="1" applyBorder="1" applyAlignment="1">
      <alignment horizontal="left" vertical="center" wrapText="1"/>
    </xf>
    <xf numFmtId="0" fontId="15" fillId="30" borderId="13" xfId="4" applyFont="1" applyFill="1" applyBorder="1" applyAlignment="1">
      <alignment horizontal="left" vertical="center" wrapText="1"/>
    </xf>
    <xf numFmtId="0" fontId="15" fillId="30" borderId="40" xfId="4" applyFont="1" applyFill="1" applyBorder="1" applyAlignment="1">
      <alignment horizontal="left" vertical="center" wrapText="1"/>
    </xf>
    <xf numFmtId="0" fontId="15" fillId="30" borderId="18" xfId="4" applyFont="1" applyFill="1" applyBorder="1" applyAlignment="1">
      <alignment horizontal="left" vertical="center" wrapText="1"/>
    </xf>
    <xf numFmtId="0" fontId="43" fillId="4" borderId="12" xfId="4" applyFont="1" applyFill="1" applyBorder="1" applyAlignment="1">
      <alignment horizontal="left" vertical="center"/>
    </xf>
    <xf numFmtId="0" fontId="43" fillId="4" borderId="13" xfId="4" applyFont="1" applyFill="1" applyBorder="1" applyAlignment="1">
      <alignment horizontal="left" vertical="center"/>
    </xf>
    <xf numFmtId="0" fontId="43" fillId="4" borderId="18" xfId="4" applyFont="1" applyFill="1" applyBorder="1" applyAlignment="1">
      <alignment horizontal="left" vertical="center"/>
    </xf>
    <xf numFmtId="0" fontId="15" fillId="30" borderId="12" xfId="4" applyFont="1" applyFill="1" applyBorder="1" applyAlignment="1">
      <alignment horizontal="center" vertical="center" wrapText="1"/>
    </xf>
    <xf numFmtId="0" fontId="15" fillId="30" borderId="13" xfId="4" applyFont="1" applyFill="1" applyBorder="1" applyAlignment="1">
      <alignment horizontal="center" vertical="center" wrapText="1"/>
    </xf>
    <xf numFmtId="0" fontId="15" fillId="30" borderId="40" xfId="4" applyFont="1" applyFill="1" applyBorder="1" applyAlignment="1">
      <alignment horizontal="center" vertical="center" wrapText="1"/>
    </xf>
    <xf numFmtId="0" fontId="43" fillId="4" borderId="12" xfId="4" applyFont="1" applyFill="1" applyBorder="1" applyAlignment="1">
      <alignment horizontal="center" vertical="center"/>
    </xf>
    <xf numFmtId="0" fontId="43" fillId="4" borderId="13" xfId="4" applyFont="1" applyFill="1" applyBorder="1" applyAlignment="1">
      <alignment horizontal="center" vertical="center"/>
    </xf>
    <xf numFmtId="0" fontId="43" fillId="4" borderId="18" xfId="4" applyFont="1" applyFill="1" applyBorder="1" applyAlignment="1">
      <alignment horizontal="center" vertical="center"/>
    </xf>
    <xf numFmtId="0" fontId="15" fillId="5" borderId="12" xfId="4" applyFont="1" applyFill="1" applyBorder="1" applyAlignment="1">
      <alignment horizontal="left" vertical="center" wrapText="1"/>
    </xf>
    <xf numFmtId="0" fontId="15" fillId="5" borderId="13" xfId="4" applyFont="1" applyFill="1" applyBorder="1" applyAlignment="1">
      <alignment horizontal="left" vertical="center" wrapText="1"/>
    </xf>
    <xf numFmtId="0" fontId="15" fillId="5" borderId="18" xfId="4" applyFont="1" applyFill="1" applyBorder="1" applyAlignment="1">
      <alignment horizontal="left" vertical="center" wrapText="1"/>
    </xf>
    <xf numFmtId="0" fontId="15" fillId="25" borderId="12" xfId="4" applyFont="1" applyFill="1" applyBorder="1" applyAlignment="1">
      <alignment horizontal="left" vertical="center"/>
    </xf>
    <xf numFmtId="0" fontId="15" fillId="25" borderId="13" xfId="4" applyFont="1" applyFill="1" applyBorder="1" applyAlignment="1">
      <alignment horizontal="left" vertical="center"/>
    </xf>
    <xf numFmtId="0" fontId="15" fillId="25" borderId="18" xfId="4" applyFont="1" applyFill="1" applyBorder="1" applyAlignment="1">
      <alignment horizontal="left" vertical="center"/>
    </xf>
    <xf numFmtId="0" fontId="43" fillId="2" borderId="46" xfId="4" applyFont="1" applyFill="1" applyBorder="1" applyAlignment="1">
      <alignment horizontal="left" vertical="center"/>
    </xf>
    <xf numFmtId="0" fontId="43" fillId="2" borderId="56" xfId="4" applyFont="1" applyFill="1" applyBorder="1" applyAlignment="1">
      <alignment horizontal="left" vertical="center"/>
    </xf>
    <xf numFmtId="0" fontId="43" fillId="2" borderId="13" xfId="4" applyFont="1" applyFill="1" applyBorder="1" applyAlignment="1">
      <alignment horizontal="left" vertical="center"/>
    </xf>
    <xf numFmtId="0" fontId="43" fillId="2" borderId="18" xfId="4" applyFont="1" applyFill="1" applyBorder="1" applyAlignment="1">
      <alignment horizontal="left" vertical="center"/>
    </xf>
    <xf numFmtId="0" fontId="4" fillId="27" borderId="29" xfId="0" applyFont="1" applyFill="1" applyBorder="1" applyAlignment="1">
      <alignment horizontal="center" vertical="center" wrapText="1"/>
    </xf>
    <xf numFmtId="0" fontId="4" fillId="27" borderId="7" xfId="0" applyFont="1" applyFill="1" applyBorder="1" applyAlignment="1">
      <alignment horizontal="center" vertical="center" wrapText="1"/>
    </xf>
    <xf numFmtId="0" fontId="15" fillId="30" borderId="45" xfId="4" applyFont="1" applyFill="1" applyBorder="1" applyAlignment="1">
      <alignment horizontal="left" vertical="center" wrapText="1"/>
    </xf>
    <xf numFmtId="0" fontId="7" fillId="26" borderId="43" xfId="0" applyFont="1" applyFill="1" applyBorder="1" applyAlignment="1">
      <alignment horizontal="center" vertical="center"/>
    </xf>
    <xf numFmtId="0" fontId="25" fillId="15" borderId="37" xfId="4" applyFont="1" applyFill="1" applyBorder="1" applyAlignment="1">
      <alignment horizontal="left" vertical="center"/>
    </xf>
    <xf numFmtId="0" fontId="25" fillId="15" borderId="41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7" fillId="2" borderId="13" xfId="4" applyFont="1" applyFill="1" applyBorder="1" applyAlignment="1">
      <alignment horizontal="center" vertical="center"/>
    </xf>
    <xf numFmtId="0" fontId="7" fillId="2" borderId="18" xfId="4" applyFont="1" applyFill="1" applyBorder="1" applyAlignment="1">
      <alignment horizontal="center" vertical="center"/>
    </xf>
    <xf numFmtId="0" fontId="4" fillId="3" borderId="1" xfId="4" applyFill="1" applyBorder="1" applyAlignment="1">
      <alignment horizontal="center" vertical="center" wrapText="1"/>
    </xf>
    <xf numFmtId="0" fontId="54" fillId="0" borderId="28" xfId="0" applyFont="1" applyBorder="1" applyAlignment="1">
      <alignment horizontal="left"/>
    </xf>
    <xf numFmtId="0" fontId="54" fillId="0" borderId="1" xfId="0" applyFont="1" applyBorder="1" applyAlignment="1">
      <alignment horizontal="left"/>
    </xf>
    <xf numFmtId="0" fontId="3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0" fillId="30" borderId="9" xfId="4" applyFont="1" applyFill="1" applyBorder="1" applyAlignment="1">
      <alignment horizontal="left" vertical="center"/>
    </xf>
    <xf numFmtId="0" fontId="30" fillId="30" borderId="11" xfId="4" applyFont="1" applyFill="1" applyBorder="1" applyAlignment="1">
      <alignment horizontal="left" vertical="center"/>
    </xf>
    <xf numFmtId="0" fontId="30" fillId="30" borderId="6" xfId="4" applyFont="1" applyFill="1" applyBorder="1" applyAlignment="1">
      <alignment horizontal="left" vertical="center"/>
    </xf>
    <xf numFmtId="0" fontId="58" fillId="25" borderId="50" xfId="4" applyFont="1" applyFill="1" applyBorder="1" applyAlignment="1">
      <alignment horizontal="center" vertical="center"/>
    </xf>
    <xf numFmtId="0" fontId="58" fillId="25" borderId="68" xfId="4" applyFont="1" applyFill="1" applyBorder="1" applyAlignment="1">
      <alignment horizontal="center" vertical="center"/>
    </xf>
    <xf numFmtId="0" fontId="58" fillId="25" borderId="69" xfId="4" applyFont="1" applyFill="1" applyBorder="1" applyAlignment="1">
      <alignment horizontal="center" vertic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3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169" fontId="26" fillId="12" borderId="12" xfId="1" applyNumberFormat="1" applyFont="1" applyFill="1" applyBorder="1" applyAlignment="1">
      <alignment horizontal="center" vertical="center" wrapText="1"/>
    </xf>
    <xf numFmtId="169" fontId="26" fillId="12" borderId="13" xfId="1" applyNumberFormat="1" applyFont="1" applyFill="1" applyBorder="1" applyAlignment="1">
      <alignment horizontal="center" vertical="center" wrapText="1"/>
    </xf>
    <xf numFmtId="169" fontId="26" fillId="12" borderId="18" xfId="1" applyNumberFormat="1" applyFont="1" applyFill="1" applyBorder="1" applyAlignment="1">
      <alignment horizontal="center" vertical="center" wrapText="1"/>
    </xf>
  </cellXfs>
  <cellStyles count="16">
    <cellStyle name="Comma 3" xfId="9" xr:uid="{00000000-0005-0000-0000-000000000000}"/>
    <cellStyle name="Comma 3 2" xfId="14" xr:uid="{00000000-0005-0000-0000-000001000000}"/>
    <cellStyle name="Milliers" xfId="1" builtinId="3"/>
    <cellStyle name="Monétaire" xfId="2" builtinId="4"/>
    <cellStyle name="Normal" xfId="0" builtinId="0"/>
    <cellStyle name="Normal 2" xfId="4" xr:uid="{00000000-0005-0000-0000-000004000000}"/>
    <cellStyle name="Normal 2 2" xfId="15" xr:uid="{00000000-0005-0000-0000-000005000000}"/>
    <cellStyle name="Normal 3" xfId="6" xr:uid="{00000000-0005-0000-0000-000006000000}"/>
    <cellStyle name="Normal 3 2" xfId="12" xr:uid="{00000000-0005-0000-0000-000007000000}"/>
    <cellStyle name="Normal 4" xfId="7" xr:uid="{00000000-0005-0000-0000-000008000000}"/>
    <cellStyle name="Normal 5" xfId="10" xr:uid="{00000000-0005-0000-0000-000009000000}"/>
    <cellStyle name="Percentagem 2" xfId="5" xr:uid="{00000000-0005-0000-0000-00000B000000}"/>
    <cellStyle name="Pourcentage" xfId="3" builtinId="5"/>
    <cellStyle name="Separador de milhares [0] 2" xfId="11" xr:uid="{00000000-0005-0000-0000-00000C000000}"/>
    <cellStyle name="Vírgula 2" xfId="13" xr:uid="{00000000-0005-0000-0000-00000E000000}"/>
    <cellStyle name="Vírgula 3" xfId="8" xr:uid="{00000000-0005-0000-0000-00000F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2AF22A"/>
      <color rgb="FF54F8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pro/Desktop/DOCUMENTOS%2006-07-2023/%20BUDGET%20CAMPAGNE%20NATIONAL%20MenAfriVac_GNB%202023/BUDGET%20AIRES%20ANITAIRES%20CAMPAGNE%20MenAficVac_GNBISSAU-08-07-2023_ED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-Alvo-CNMenAfricVac por A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ngler Boissy" id="{5252A948-13B7-41D1-A122-E73EC5EA9E8E}" userId="2016ac7b437f1e88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9" dT="2024-09-30T16:21:02.81" personId="{5252A948-13B7-41D1-A122-E73EC5EA9E8E}" id="{7FE74D35-CD31-4958-B6F5-193762A09A42}">
    <text xml:space="preserve">
Bafatá 2
Bolama 0
Farim 1
Biombo 2
Cacheu 2
Gabú 2
Oio 2
Quinara 1
Tombali 2
</text>
  </threadedComment>
</ThreadedComment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3" workbookViewId="0">
      <pane xSplit="2" ySplit="2" topLeftCell="K5" activePane="bottomRight" state="frozen"/>
      <selection activeCell="A3" sqref="A3"/>
      <selection pane="topRight" activeCell="C3" sqref="C3"/>
      <selection pane="bottomLeft" activeCell="A5" sqref="A5"/>
      <selection pane="bottomRight" activeCell="Q18" sqref="Q18"/>
    </sheetView>
  </sheetViews>
  <sheetFormatPr baseColWidth="10" defaultColWidth="8.875" defaultRowHeight="15.75" x14ac:dyDescent="0.25"/>
  <cols>
    <col min="1" max="1" width="18.875" customWidth="1"/>
    <col min="2" max="7" width="14.375" customWidth="1"/>
    <col min="8" max="13" width="12.625" customWidth="1"/>
    <col min="14" max="15" width="12" customWidth="1"/>
    <col min="16" max="16" width="15.625" customWidth="1"/>
    <col min="17" max="17" width="10" customWidth="1"/>
    <col min="18" max="19" width="12.625" customWidth="1"/>
    <col min="20" max="20" width="9.875" customWidth="1"/>
  </cols>
  <sheetData>
    <row r="1" spans="1:20" ht="16.5" thickBot="1" x14ac:dyDescent="0.3"/>
    <row r="2" spans="1:20" ht="18.75" thickBot="1" x14ac:dyDescent="0.3">
      <c r="A2" s="742" t="s">
        <v>100</v>
      </c>
      <c r="B2" s="477"/>
      <c r="C2" s="477"/>
      <c r="D2" s="477"/>
      <c r="E2" s="477"/>
      <c r="F2" s="477"/>
      <c r="G2" s="477"/>
      <c r="H2" s="745" t="s">
        <v>254</v>
      </c>
      <c r="I2" s="745"/>
      <c r="J2" s="745"/>
      <c r="K2" s="745"/>
      <c r="L2" s="745"/>
      <c r="M2" s="745"/>
      <c r="N2" s="745"/>
      <c r="O2" s="745"/>
      <c r="P2" s="745"/>
      <c r="Q2" s="745"/>
      <c r="R2" s="745"/>
      <c r="S2" s="745"/>
      <c r="T2" s="746"/>
    </row>
    <row r="3" spans="1:20" ht="16.149999999999999" customHeight="1" thickBot="1" x14ac:dyDescent="0.3">
      <c r="A3" s="743"/>
      <c r="B3" s="736" t="s">
        <v>1505</v>
      </c>
      <c r="C3" s="736" t="s">
        <v>1506</v>
      </c>
      <c r="D3" s="736" t="s">
        <v>1507</v>
      </c>
      <c r="E3" s="736" t="s">
        <v>1508</v>
      </c>
      <c r="F3" s="736" t="s">
        <v>1509</v>
      </c>
      <c r="G3" s="736" t="s">
        <v>1512</v>
      </c>
      <c r="H3" s="736" t="s">
        <v>255</v>
      </c>
      <c r="I3" s="736" t="s">
        <v>1519</v>
      </c>
      <c r="J3" s="738" t="s">
        <v>519</v>
      </c>
      <c r="K3" s="738" t="s">
        <v>1516</v>
      </c>
      <c r="L3" s="738" t="s">
        <v>1517</v>
      </c>
      <c r="M3" s="736" t="s">
        <v>256</v>
      </c>
      <c r="N3" s="740" t="s">
        <v>257</v>
      </c>
      <c r="O3" s="740" t="s">
        <v>1518</v>
      </c>
      <c r="P3" s="747" t="s">
        <v>258</v>
      </c>
      <c r="Q3" s="749" t="s">
        <v>259</v>
      </c>
      <c r="R3" s="751" t="s">
        <v>260</v>
      </c>
      <c r="S3" s="752"/>
      <c r="T3" s="753" t="s">
        <v>111</v>
      </c>
    </row>
    <row r="4" spans="1:20" ht="25.5" customHeight="1" thickBot="1" x14ac:dyDescent="0.3">
      <c r="A4" s="744"/>
      <c r="B4" s="737"/>
      <c r="C4" s="737"/>
      <c r="D4" s="737"/>
      <c r="E4" s="737"/>
      <c r="F4" s="737"/>
      <c r="G4" s="737"/>
      <c r="H4" s="737"/>
      <c r="I4" s="737"/>
      <c r="J4" s="739"/>
      <c r="K4" s="739"/>
      <c r="L4" s="739"/>
      <c r="M4" s="737"/>
      <c r="N4" s="741"/>
      <c r="O4" s="741"/>
      <c r="P4" s="748"/>
      <c r="Q4" s="750"/>
      <c r="R4" s="190" t="s">
        <v>261</v>
      </c>
      <c r="S4" s="190" t="s">
        <v>262</v>
      </c>
      <c r="T4" s="754"/>
    </row>
    <row r="5" spans="1:20" ht="20.25" customHeight="1" x14ac:dyDescent="0.25">
      <c r="A5" s="484" t="s">
        <v>121</v>
      </c>
      <c r="B5" s="488"/>
      <c r="C5" s="488"/>
      <c r="D5" s="488"/>
      <c r="E5" s="488"/>
      <c r="F5" s="488"/>
      <c r="G5" s="488"/>
      <c r="H5" s="191">
        <v>2</v>
      </c>
      <c r="I5" s="191">
        <f>+'RS BAFATA'!D16+'RS BAFATA'!D23+'RS BAFATA'!D30+'RS BAFATA'!D37+'RS BAFATA'!D44+'RS BAFATA'!D51+'RS BAFATA'!D58+'RS BAFATA'!D65+'RS BAFATA'!D72+'RS BAFATA'!D79+'RS BAFATA'!D86+'RS BAFATA'!D93+'RS BAFATA'!D100+'RS BAFATA'!D107</f>
        <v>27</v>
      </c>
      <c r="J5" s="191">
        <f>+'RS BAFATA'!D11+'RS BAFATA'!D18+'RS BAFATA'!D25+'RS BAFATA'!D32+'RS BAFATA'!D39+'RS BAFATA'!D46+'RS BAFATA'!D53+'RS BAFATA'!D60+'RS BAFATA'!D67+'RS BAFATA'!D74+'RS BAFATA'!D81+'RS BAFATA'!D88+'RS BAFATA'!D95+'RS BAFATA'!D102</f>
        <v>176</v>
      </c>
      <c r="K5" s="191">
        <f t="shared" ref="K5:K15" si="0">+J5/2</f>
        <v>88</v>
      </c>
      <c r="L5" s="191">
        <f>+'RS BAFATA'!D14+'RS BAFATA'!D21+'RS BAFATA'!D28+'RS BAFATA'!D35+'RS BAFATA'!D42+'RS BAFATA'!D49+'RS BAFATA'!D56+'RS BAFATA'!D63+'RS BAFATA'!D70+'RS BAFATA'!D77+'RS BAFATA'!D84+'RS BAFATA'!D91+'RS BAFATA'!D98+'RS BAFATA'!D105</f>
        <v>441</v>
      </c>
      <c r="M5" s="191">
        <v>1</v>
      </c>
      <c r="N5" s="192">
        <f>ROUND(14/3,0)</f>
        <v>5</v>
      </c>
      <c r="O5" s="192">
        <v>14</v>
      </c>
      <c r="P5" s="192">
        <v>3</v>
      </c>
      <c r="Q5" s="192">
        <v>1</v>
      </c>
      <c r="R5" s="192">
        <v>1</v>
      </c>
      <c r="S5" s="192">
        <v>1</v>
      </c>
      <c r="T5" s="193">
        <f t="shared" ref="T5:T15" si="1">SUM(H5:S5)</f>
        <v>760</v>
      </c>
    </row>
    <row r="6" spans="1:20" ht="20.25" customHeight="1" x14ac:dyDescent="0.25">
      <c r="A6" s="484" t="s">
        <v>145</v>
      </c>
      <c r="B6" s="488"/>
      <c r="C6" s="488"/>
      <c r="D6" s="488"/>
      <c r="E6" s="488"/>
      <c r="F6" s="488"/>
      <c r="G6" s="488"/>
      <c r="H6" s="191">
        <v>2</v>
      </c>
      <c r="I6" s="191">
        <f>+'RS BIJAGÓS'!D15+'RS BIJAGÓS'!D22+'RS BIJAGÓS'!D29+'RS BIJAGÓS'!D36+'RS BIJAGÓS'!D43+'RS BIJAGÓS'!D50+'RS BIJAGÓS'!D57+'RS BIJAGÓS'!D64+'RS BIJAGÓS'!D71+'RS BIJAGÓS'!D78+'RS BIJAGÓS'!D85</f>
        <v>11</v>
      </c>
      <c r="J6" s="191">
        <f>+'RS BIJAGÓS'!D10+'RS BIJAGÓS'!D17+'RS BIJAGÓS'!D24+'RS BIJAGÓS'!D31+'RS BIJAGÓS'!D38+'RS BIJAGÓS'!D45+'RS BIJAGÓS'!D52+'RS BIJAGÓS'!D59+'RS BIJAGÓS'!D66+'RS BIJAGÓS'!D73+'RS BIJAGÓS'!D80</f>
        <v>24</v>
      </c>
      <c r="K6" s="191">
        <f t="shared" si="0"/>
        <v>12</v>
      </c>
      <c r="L6" s="191">
        <f>+'RS BIJAGÓS'!D13+'RS BIJAGÓS'!D20+'RS BIJAGÓS'!D27+'RS BIJAGÓS'!D34+'RS BIJAGÓS'!D41+'RS BIJAGÓS'!D48+'RS BIJAGÓS'!D55+'RS BIJAGÓS'!D62+'RS BIJAGÓS'!D69+'RS BIJAGÓS'!D76+'RS BIJAGÓS'!D83</f>
        <v>68</v>
      </c>
      <c r="M6" s="191">
        <v>1</v>
      </c>
      <c r="N6" s="192">
        <f>ROUND(11/6,0)</f>
        <v>2</v>
      </c>
      <c r="O6" s="192">
        <v>11</v>
      </c>
      <c r="P6" s="192">
        <v>3</v>
      </c>
      <c r="Q6" s="192">
        <v>1</v>
      </c>
      <c r="R6" s="192">
        <v>1</v>
      </c>
      <c r="S6" s="192">
        <v>2</v>
      </c>
      <c r="T6" s="193">
        <f t="shared" si="1"/>
        <v>138</v>
      </c>
    </row>
    <row r="7" spans="1:20" ht="20.25" customHeight="1" x14ac:dyDescent="0.25">
      <c r="A7" s="484" t="s">
        <v>157</v>
      </c>
      <c r="B7" s="488"/>
      <c r="C7" s="488"/>
      <c r="D7" s="488"/>
      <c r="E7" s="488"/>
      <c r="F7" s="488"/>
      <c r="G7" s="488"/>
      <c r="H7" s="191">
        <v>2</v>
      </c>
      <c r="I7" s="191">
        <f>+'RS BIOMBO'!D16+'RS BIOMBO'!D23+'RS BIOMBO'!D30+'RS BIOMBO'!D37+'RS BIOMBO'!D44+'RS BIOMBO'!D51+'RS BIOMBO'!D58+'RS BIOMBO'!D65</f>
        <v>11</v>
      </c>
      <c r="J7" s="191">
        <f>+'RS BIOMBO'!D11+'RS BIOMBO'!D18+'RS BIOMBO'!D25+'RS BIOMBO'!D32+'RS BIOMBO'!D39+'RS BIOMBO'!D46+'RS BIOMBO'!D53+'RS BIOMBO'!D60</f>
        <v>64</v>
      </c>
      <c r="K7" s="191">
        <f t="shared" si="0"/>
        <v>32</v>
      </c>
      <c r="L7" s="191">
        <f>+'RS BIOMBO'!D14+'RS BIOMBO'!D21+'RS BIOMBO'!D28+'RS BIOMBO'!D35+'RS BIOMBO'!D42+'RS BIOMBO'!D49+'RS BIOMBO'!D56+'RS BIOMBO'!D63</f>
        <v>197</v>
      </c>
      <c r="M7" s="191">
        <v>1</v>
      </c>
      <c r="N7" s="192">
        <f>ROUND(8/3,0)</f>
        <v>3</v>
      </c>
      <c r="O7" s="192">
        <v>8</v>
      </c>
      <c r="P7" s="192">
        <v>3</v>
      </c>
      <c r="Q7" s="192">
        <v>1</v>
      </c>
      <c r="R7" s="192">
        <v>1</v>
      </c>
      <c r="S7" s="192">
        <v>0</v>
      </c>
      <c r="T7" s="193">
        <f t="shared" si="1"/>
        <v>323</v>
      </c>
    </row>
    <row r="8" spans="1:20" ht="20.25" customHeight="1" x14ac:dyDescent="0.25">
      <c r="A8" s="485" t="s">
        <v>166</v>
      </c>
      <c r="B8" s="488"/>
      <c r="C8" s="488"/>
      <c r="D8" s="488"/>
      <c r="E8" s="488"/>
      <c r="F8" s="488"/>
      <c r="G8" s="488"/>
      <c r="H8" s="191">
        <v>2</v>
      </c>
      <c r="I8" s="191">
        <f>+'RS BOLAMA'!D15+'RS BOLAMA'!D22+'RS BOLAMA'!D29</f>
        <v>3</v>
      </c>
      <c r="J8" s="191">
        <f>+'RS BOLAMA'!D10+'RS BOLAMA'!D17+'RS BOLAMA'!D24</f>
        <v>8</v>
      </c>
      <c r="K8" s="191">
        <f t="shared" si="0"/>
        <v>4</v>
      </c>
      <c r="L8" s="191">
        <f>+'RS BOLAMA'!D13+'RS BOLAMA'!D20+'RS BOLAMA'!D27</f>
        <v>16</v>
      </c>
      <c r="M8" s="191">
        <v>1</v>
      </c>
      <c r="N8" s="192">
        <f>ROUND(3/3,0)</f>
        <v>1</v>
      </c>
      <c r="O8" s="192">
        <v>3</v>
      </c>
      <c r="P8" s="192">
        <v>3</v>
      </c>
      <c r="Q8" s="192">
        <v>1</v>
      </c>
      <c r="R8" s="192">
        <v>1</v>
      </c>
      <c r="S8" s="192">
        <v>0</v>
      </c>
      <c r="T8" s="193">
        <f t="shared" si="1"/>
        <v>43</v>
      </c>
    </row>
    <row r="9" spans="1:20" ht="20.25" customHeight="1" x14ac:dyDescent="0.25">
      <c r="A9" s="484" t="s">
        <v>169</v>
      </c>
      <c r="B9" s="488"/>
      <c r="C9" s="488"/>
      <c r="D9" s="488"/>
      <c r="E9" s="488"/>
      <c r="F9" s="488"/>
      <c r="G9" s="488"/>
      <c r="H9" s="191">
        <v>2</v>
      </c>
      <c r="I9" s="191">
        <f>+'RS CACHEU'!D16+'RS CACHEU'!D23+'RS CACHEU'!D30+'RS CACHEU'!D37+'RS CACHEU'!D44+'RS CACHEU'!D51+'RS CACHEU'!D58+'RS CACHEU'!D65+'RS CACHEU'!D72+'RS CACHEU'!D79+'RS CACHEU'!D86+'RS CACHEU'!D93+'RS CACHEU'!D100+'RS CACHEU'!D107+'RS CACHEU'!D114+'RS CACHEU'!D121+'RS CACHEU'!D128+'RS CACHEU'!D135+'RS CACHEU'!D142</f>
        <v>23</v>
      </c>
      <c r="J9" s="191">
        <f>+'RS CACHEU'!D11+'RS CACHEU'!D18+'RS CACHEU'!D25+'RS CACHEU'!D32+'RS CACHEU'!D39+'RS CACHEU'!D46+'RS CACHEU'!D53+'RS CACHEU'!D60+'RS CACHEU'!D67+'RS CACHEU'!D74+'RS CACHEU'!D81+'RS CACHEU'!D88+'RS CACHEU'!D95+'RS CACHEU'!D102+'RS CACHEU'!D109+'RS CACHEU'!D116+'RS CACHEU'!D123+'RS CACHEU'!D130+'RS CACHEU'!D137</f>
        <v>140</v>
      </c>
      <c r="K9" s="191">
        <f t="shared" si="0"/>
        <v>70</v>
      </c>
      <c r="L9" s="191">
        <f>+'RS CACHEU'!D14+'RS CACHEU'!D21+'RS CACHEU'!D28+'RS CACHEU'!D35+'RS CACHEU'!D42+'RS CACHEU'!D49+'RS CACHEU'!D56+'RS CACHEU'!D63+'RS CACHEU'!D70+'RS CACHEU'!D77+'RS CACHEU'!D84+'RS CACHEU'!D91+'RS CACHEU'!D98+'RS CACHEU'!D105+'RS CACHEU'!D112+'RS CACHEU'!D119+'RS CACHEU'!D126+'RS CACHEU'!D133+'RS CACHEU'!D140</f>
        <v>367</v>
      </c>
      <c r="M9" s="191">
        <v>1</v>
      </c>
      <c r="N9" s="192">
        <f>ROUND(19/3,0)</f>
        <v>6</v>
      </c>
      <c r="O9" s="192">
        <v>19</v>
      </c>
      <c r="P9" s="192">
        <v>3</v>
      </c>
      <c r="Q9" s="192">
        <v>1</v>
      </c>
      <c r="R9" s="192">
        <v>1</v>
      </c>
      <c r="S9" s="192">
        <v>2</v>
      </c>
      <c r="T9" s="193">
        <f t="shared" si="1"/>
        <v>635</v>
      </c>
    </row>
    <row r="10" spans="1:20" ht="20.25" customHeight="1" x14ac:dyDescent="0.25">
      <c r="A10" s="484" t="s">
        <v>188</v>
      </c>
      <c r="B10" s="488"/>
      <c r="C10" s="488"/>
      <c r="D10" s="488"/>
      <c r="E10" s="488"/>
      <c r="F10" s="488"/>
      <c r="G10" s="488"/>
      <c r="H10" s="191">
        <v>2</v>
      </c>
      <c r="I10" s="191">
        <f>+'RS FARIM'!D16+'RS FARIM'!D23+'RS FARIM'!D30+'RS FARIM'!D37+'RS FARIM'!D44</f>
        <v>7</v>
      </c>
      <c r="J10" s="191">
        <f>+'RS FARIM'!D11+'RS FARIM'!D18+'RS FARIM'!D25+'RS FARIM'!D32+'RS FARIM'!D39</f>
        <v>38</v>
      </c>
      <c r="K10" s="191">
        <f t="shared" si="0"/>
        <v>19</v>
      </c>
      <c r="L10" s="191">
        <f>+'RS FARIM'!D14+'RS FARIM'!D21+'RS FARIM'!D28+'RS FARIM'!D35+'RS FARIM'!D42</f>
        <v>121</v>
      </c>
      <c r="M10" s="191">
        <v>1</v>
      </c>
      <c r="N10" s="192">
        <f>ROUND(5/3,0)</f>
        <v>2</v>
      </c>
      <c r="O10" s="192">
        <v>5</v>
      </c>
      <c r="P10" s="192">
        <v>3</v>
      </c>
      <c r="Q10" s="192">
        <v>1</v>
      </c>
      <c r="R10" s="192">
        <v>1</v>
      </c>
      <c r="S10" s="192">
        <v>0</v>
      </c>
      <c r="T10" s="193">
        <f t="shared" si="1"/>
        <v>200</v>
      </c>
    </row>
    <row r="11" spans="1:20" ht="20.25" customHeight="1" x14ac:dyDescent="0.25">
      <c r="A11" s="484" t="s">
        <v>193</v>
      </c>
      <c r="B11" s="488"/>
      <c r="C11" s="488"/>
      <c r="D11" s="488"/>
      <c r="E11" s="488"/>
      <c r="F11" s="488"/>
      <c r="G11" s="488"/>
      <c r="H11" s="191">
        <v>2</v>
      </c>
      <c r="I11" s="191">
        <f>+'RS GABU'!D16+'RS GABU'!D23+'RS GABU'!D30+'RS GABU'!D37+'RS GABU'!D44+'RS GABU'!D52+'RS GABU'!D59+'RS GABU'!D66+'RS GABU'!D73+'RS GABU'!D80+'RS GABU'!D87+'RS GABU'!D94+'RS GABU'!D101+'RS GABU'!D108+'RS GABU'!D115+'RS GABU'!D122+'RS GABU'!D129+'RS GABU'!D136+'RS GABU'!D143</f>
        <v>28</v>
      </c>
      <c r="J11" s="191">
        <f>+'RS GABU'!D11+'RS GABU'!D18+'RS GABU'!D25+'RS GABU'!D32+'RS GABU'!D39+'RS GABU'!D46+'RS GABU'!D54+'RS GABU'!D61+'RS GABU'!D68+'RS GABU'!D75+'RS GABU'!D82+'RS GABU'!D89+'RS GABU'!D96+'RS GABU'!D103+'RS GABU'!D110+'RS GABU'!D117+'RS GABU'!D124+'RS GABU'!D131+'RS GABU'!D138</f>
        <v>174</v>
      </c>
      <c r="K11" s="191">
        <f t="shared" si="0"/>
        <v>87</v>
      </c>
      <c r="L11" s="191">
        <f>+'RS GABU'!D14+'RS GABU'!D21+'RS GABU'!D28+'RS GABU'!D35+'RS GABU'!D42+'RS GABU'!D50+'RS GABU'!D57+'RS GABU'!D64+'RS GABU'!D71+'RS GABU'!D78+'RS GABU'!D85+'RS GABU'!D92+'RS GABU'!D99+'RS GABU'!D106+'RS GABU'!D113+'RS GABU'!D120+'RS GABU'!D127+'RS GABU'!D134+'RS GABU'!D141</f>
        <v>446</v>
      </c>
      <c r="M11" s="191">
        <v>1</v>
      </c>
      <c r="N11" s="192">
        <f>ROUND(19/3,0)</f>
        <v>6</v>
      </c>
      <c r="O11" s="192">
        <v>19</v>
      </c>
      <c r="P11" s="192">
        <v>3</v>
      </c>
      <c r="Q11" s="192">
        <v>1</v>
      </c>
      <c r="R11" s="192">
        <v>1</v>
      </c>
      <c r="S11" s="192">
        <v>1</v>
      </c>
      <c r="T11" s="193">
        <f t="shared" si="1"/>
        <v>769</v>
      </c>
    </row>
    <row r="12" spans="1:20" ht="20.25" customHeight="1" x14ac:dyDescent="0.25">
      <c r="A12" s="484" t="s">
        <v>212</v>
      </c>
      <c r="B12" s="488"/>
      <c r="C12" s="488"/>
      <c r="D12" s="488"/>
      <c r="E12" s="488"/>
      <c r="F12" s="488"/>
      <c r="G12" s="488"/>
      <c r="H12" s="191">
        <v>2</v>
      </c>
      <c r="I12" s="191">
        <f>+'RS OIO'!D16+'RS OIO'!D23+'RS OIO'!D30+'RS OIO'!D37+'RS OIO'!D44+'RS OIO'!D51+'RS OIO'!D58+'RS OIO'!D65+'RS OIO'!D72+'RS OIO'!D79</f>
        <v>20</v>
      </c>
      <c r="J12" s="191">
        <f>+'RS OIO'!D11+'RS OIO'!D18+'RS OIO'!D25+'RS OIO'!D32+'RS OIO'!D39+'RS OIO'!D46+'RS OIO'!D53+'RS OIO'!D60+'RS OIO'!D67+'RS OIO'!D74</f>
        <v>152</v>
      </c>
      <c r="K12" s="191">
        <f t="shared" si="0"/>
        <v>76</v>
      </c>
      <c r="L12" s="191">
        <f>+'RS OIO'!D14+'RS OIO'!D21+'RS OIO'!D28+'RS OIO'!D35+'RS OIO'!D42+'RS OIO'!D49+'RS OIO'!D56+'RS OIO'!D63+'RS OIO'!D70+'RS OIO'!D77</f>
        <v>395</v>
      </c>
      <c r="M12" s="191">
        <v>1</v>
      </c>
      <c r="N12" s="192">
        <f>ROUND(10/3,0)</f>
        <v>3</v>
      </c>
      <c r="O12" s="192">
        <v>10</v>
      </c>
      <c r="P12" s="192">
        <v>3</v>
      </c>
      <c r="Q12" s="192">
        <v>1</v>
      </c>
      <c r="R12" s="192">
        <v>1</v>
      </c>
      <c r="S12" s="192">
        <v>1</v>
      </c>
      <c r="T12" s="193">
        <f t="shared" si="1"/>
        <v>665</v>
      </c>
    </row>
    <row r="13" spans="1:20" ht="20.25" customHeight="1" x14ac:dyDescent="0.25">
      <c r="A13" s="484" t="s">
        <v>222</v>
      </c>
      <c r="B13" s="488"/>
      <c r="C13" s="488"/>
      <c r="D13" s="488"/>
      <c r="E13" s="488"/>
      <c r="F13" s="488"/>
      <c r="G13" s="488"/>
      <c r="H13" s="191">
        <v>2</v>
      </c>
      <c r="I13" s="191">
        <f>+'RS QUINARA'!D15+'RS QUINARA'!D22+'RS QUINARA'!D29+'RS QUINARA'!D36+'RS QUINARA'!D43+'RS QUINARA'!D50</f>
        <v>7</v>
      </c>
      <c r="J13" s="191">
        <f>+'RS QUINARA'!D10+'RS QUINARA'!D17+'RS QUINARA'!D24+'RS QUINARA'!D31+'RS QUINARA'!D38+'RS QUINARA'!D45</f>
        <v>54</v>
      </c>
      <c r="K13" s="191">
        <f t="shared" si="0"/>
        <v>27</v>
      </c>
      <c r="L13" s="191">
        <f>+'RS QUINARA'!D13+'RS QUINARA'!D20+'RS QUINARA'!D27+'RS QUINARA'!D34+'RS QUINARA'!D41+'RS QUINARA'!D48</f>
        <v>161</v>
      </c>
      <c r="M13" s="191">
        <v>1</v>
      </c>
      <c r="N13" s="192">
        <f>ROUND(6/3,0)</f>
        <v>2</v>
      </c>
      <c r="O13" s="192">
        <v>6</v>
      </c>
      <c r="P13" s="192">
        <v>3</v>
      </c>
      <c r="Q13" s="192">
        <v>1</v>
      </c>
      <c r="R13" s="192">
        <v>1</v>
      </c>
      <c r="S13" s="192">
        <f>N13</f>
        <v>2</v>
      </c>
      <c r="T13" s="193">
        <f t="shared" si="1"/>
        <v>267</v>
      </c>
    </row>
    <row r="14" spans="1:20" ht="20.25" customHeight="1" x14ac:dyDescent="0.25">
      <c r="A14" s="484" t="s">
        <v>26</v>
      </c>
      <c r="B14" s="488"/>
      <c r="C14" s="488"/>
      <c r="D14" s="488"/>
      <c r="E14" s="488"/>
      <c r="F14" s="488"/>
      <c r="G14" s="488"/>
      <c r="H14" s="191">
        <v>2</v>
      </c>
      <c r="I14" s="191">
        <f>+'RS SAB'!D15+'RS SAB'!D22+'RS SAB'!D29+'RS SAB'!D36+'RS SAB'!D43+'RS SAB'!D50+'RS SAB'!D57+'RS SAB'!D64+'RS SAB'!D71+'RS SAB'!D78+'RS SAB'!D85+'RS SAB'!D92+'RS SAB'!D99+'RS SAB'!D106</f>
        <v>27</v>
      </c>
      <c r="J14" s="191">
        <f>+'RS SAB'!D10+'RS SAB'!D17+'RS SAB'!D24+'RS SAB'!D31+'RS SAB'!D38+'RS SAB'!D45+'RS SAB'!D52+'RS SAB'!D59+'RS SAB'!D66+'RS SAB'!D73+'RS SAB'!D80+'RS SAB'!D87+'RS SAB'!D94+'RS SAB'!D101</f>
        <v>252</v>
      </c>
      <c r="K14" s="191">
        <f t="shared" si="0"/>
        <v>126</v>
      </c>
      <c r="L14" s="191">
        <f>+'RS SAB'!D13+'RS SAB'!D20+'RS SAB'!D27+'RS SAB'!D34+'RS SAB'!D41+'RS SAB'!D48+'RS SAB'!D55+'RS SAB'!D62+'RS SAB'!D69+'RS SAB'!D76+'RS SAB'!D83+'RS SAB'!D90+'RS SAB'!D97+'RS SAB'!D104</f>
        <v>518</v>
      </c>
      <c r="M14" s="191">
        <v>1</v>
      </c>
      <c r="N14" s="192">
        <f t="shared" ref="N14" si="2">ROUND(14/3,0)</f>
        <v>5</v>
      </c>
      <c r="O14" s="192">
        <v>14</v>
      </c>
      <c r="P14" s="192">
        <v>3</v>
      </c>
      <c r="Q14" s="192">
        <v>1</v>
      </c>
      <c r="R14" s="192">
        <v>1</v>
      </c>
      <c r="S14" s="192">
        <v>2</v>
      </c>
      <c r="T14" s="193">
        <f t="shared" si="1"/>
        <v>952</v>
      </c>
    </row>
    <row r="15" spans="1:20" x14ac:dyDescent="0.25">
      <c r="A15" s="486" t="s">
        <v>243</v>
      </c>
      <c r="B15" s="488"/>
      <c r="C15" s="488"/>
      <c r="D15" s="488"/>
      <c r="E15" s="488"/>
      <c r="F15" s="488"/>
      <c r="G15" s="488"/>
      <c r="H15" s="191">
        <v>2</v>
      </c>
      <c r="I15" s="191">
        <f>+'RS TOMBALI '!D16+'RS TOMBALI '!D23+'RS TOMBALI '!D30+'RS TOMBALI '!D37+'RS TOMBALI '!D44+'RS TOMBALI '!D51+'RS TOMBALI '!D58+'RS TOMBALI '!D65</f>
        <v>12</v>
      </c>
      <c r="J15" s="191">
        <f>+'RS TOMBALI '!D11+'RS TOMBALI '!D18+'RS TOMBALI '!D25+'RS TOMBALI '!D32+'RS TOMBALI '!D39+'RS TOMBALI '!D46+'RS TOMBALI '!D53+'RS TOMBALI '!D60</f>
        <v>74</v>
      </c>
      <c r="K15" s="191">
        <f t="shared" si="0"/>
        <v>37</v>
      </c>
      <c r="L15" s="191">
        <f>+'RS TOMBALI '!D14+'RS TOMBALI '!D21+'RS TOMBALI '!D28+'RS TOMBALI '!D35+'RS TOMBALI '!D42+'RS TOMBALI '!D49+'RS TOMBALI '!D56+'RS TOMBALI '!D63</f>
        <v>223</v>
      </c>
      <c r="M15" s="191">
        <v>1</v>
      </c>
      <c r="N15" s="192">
        <f>ROUND(8/3,0)</f>
        <v>3</v>
      </c>
      <c r="O15" s="192">
        <v>8</v>
      </c>
      <c r="P15" s="192">
        <v>3</v>
      </c>
      <c r="Q15" s="192">
        <v>1</v>
      </c>
      <c r="R15" s="192">
        <v>1</v>
      </c>
      <c r="S15" s="192">
        <v>1</v>
      </c>
      <c r="T15" s="194">
        <f t="shared" si="1"/>
        <v>366</v>
      </c>
    </row>
    <row r="16" spans="1:20" ht="16.5" thickBot="1" x14ac:dyDescent="0.3">
      <c r="A16" s="487" t="s">
        <v>1510</v>
      </c>
      <c r="B16" s="489">
        <v>13</v>
      </c>
      <c r="C16" s="489">
        <v>24</v>
      </c>
      <c r="D16" s="489">
        <v>5</v>
      </c>
      <c r="E16" s="489">
        <v>3</v>
      </c>
      <c r="F16" s="489">
        <v>2</v>
      </c>
      <c r="G16" s="489">
        <v>1</v>
      </c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194"/>
    </row>
    <row r="17" spans="1:20" ht="16.5" thickBot="1" x14ac:dyDescent="0.3">
      <c r="A17" s="195" t="s">
        <v>263</v>
      </c>
      <c r="B17" s="490">
        <f t="shared" ref="B17:F17" si="3">+B16</f>
        <v>13</v>
      </c>
      <c r="C17" s="490">
        <f t="shared" si="3"/>
        <v>24</v>
      </c>
      <c r="D17" s="490">
        <f t="shared" si="3"/>
        <v>5</v>
      </c>
      <c r="E17" s="490">
        <f t="shared" si="3"/>
        <v>3</v>
      </c>
      <c r="F17" s="490">
        <f t="shared" si="3"/>
        <v>2</v>
      </c>
      <c r="G17" s="490">
        <f>+G16</f>
        <v>1</v>
      </c>
      <c r="H17" s="196">
        <f>SUM(H5:H15)</f>
        <v>22</v>
      </c>
      <c r="I17" s="196">
        <f>SUM(I5:I15)</f>
        <v>176</v>
      </c>
      <c r="J17" s="196">
        <f t="shared" ref="J17:L17" si="4">SUM(J5:J15)</f>
        <v>1156</v>
      </c>
      <c r="K17" s="196">
        <f t="shared" si="4"/>
        <v>578</v>
      </c>
      <c r="L17" s="196">
        <f t="shared" si="4"/>
        <v>2953</v>
      </c>
      <c r="M17" s="196">
        <f>SUM(M5:M15)</f>
        <v>11</v>
      </c>
      <c r="N17" s="197">
        <f t="shared" ref="N17:S17" si="5">SUM(N5:N15)</f>
        <v>38</v>
      </c>
      <c r="O17" s="197">
        <f t="shared" si="5"/>
        <v>117</v>
      </c>
      <c r="P17" s="197">
        <f t="shared" si="5"/>
        <v>33</v>
      </c>
      <c r="Q17" s="197">
        <f t="shared" si="5"/>
        <v>11</v>
      </c>
      <c r="R17" s="197">
        <f t="shared" si="5"/>
        <v>11</v>
      </c>
      <c r="S17" s="197">
        <f t="shared" si="5"/>
        <v>12</v>
      </c>
      <c r="T17" s="198">
        <f>SUM(B17:S17)</f>
        <v>5166</v>
      </c>
    </row>
    <row r="20" spans="1:20" x14ac:dyDescent="0.25">
      <c r="N20" s="199"/>
      <c r="O20" s="199"/>
    </row>
    <row r="22" spans="1:20" x14ac:dyDescent="0.25">
      <c r="N22" s="199"/>
      <c r="O22" s="199"/>
    </row>
  </sheetData>
  <mergeCells count="20">
    <mergeCell ref="L3:L4"/>
    <mergeCell ref="O3:O4"/>
    <mergeCell ref="A2:A4"/>
    <mergeCell ref="H2:T2"/>
    <mergeCell ref="H3:H4"/>
    <mergeCell ref="M3:M4"/>
    <mergeCell ref="N3:N4"/>
    <mergeCell ref="P3:P4"/>
    <mergeCell ref="Q3:Q4"/>
    <mergeCell ref="R3:S3"/>
    <mergeCell ref="T3:T4"/>
    <mergeCell ref="B3:B4"/>
    <mergeCell ref="C3:C4"/>
    <mergeCell ref="D3:D4"/>
    <mergeCell ref="E3:E4"/>
    <mergeCell ref="G3:G4"/>
    <mergeCell ref="F3:F4"/>
    <mergeCell ref="I3:I4"/>
    <mergeCell ref="J3:J4"/>
    <mergeCell ref="K3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AF22A"/>
  </sheetPr>
  <dimension ref="A1:V221"/>
  <sheetViews>
    <sheetView topLeftCell="A83" zoomScale="90" zoomScaleNormal="90" workbookViewId="0">
      <selection activeCell="D99" sqref="D99"/>
    </sheetView>
  </sheetViews>
  <sheetFormatPr baseColWidth="10" defaultColWidth="10.625" defaultRowHeight="15.75" x14ac:dyDescent="0.25"/>
  <cols>
    <col min="1" max="1" width="11.25" style="48" customWidth="1"/>
    <col min="2" max="2" width="63.875" style="48" customWidth="1"/>
    <col min="3" max="3" width="21.875" style="48" customWidth="1"/>
    <col min="4" max="4" width="15.625" style="48" customWidth="1"/>
    <col min="5" max="5" width="12.375" style="48" customWidth="1"/>
    <col min="6" max="6" width="17" style="48" customWidth="1"/>
    <col min="7" max="7" width="25.5" style="48" customWidth="1"/>
    <col min="8" max="8" width="19" customWidth="1"/>
    <col min="9" max="9" width="25.25" customWidth="1"/>
    <col min="10" max="10" width="25" customWidth="1"/>
    <col min="11" max="11" width="16.75" customWidth="1"/>
    <col min="12" max="252" width="8.875" customWidth="1"/>
  </cols>
  <sheetData>
    <row r="1" spans="1:11" x14ac:dyDescent="0.25">
      <c r="A1" s="207" t="s">
        <v>1344</v>
      </c>
      <c r="B1" s="207"/>
      <c r="C1" s="207"/>
      <c r="D1" s="207"/>
      <c r="E1" s="207"/>
      <c r="F1" s="207"/>
      <c r="G1" s="207"/>
      <c r="H1" s="207"/>
      <c r="I1" s="2"/>
      <c r="J1" s="2"/>
      <c r="K1" s="2"/>
    </row>
    <row r="2" spans="1:11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2"/>
      <c r="J2" s="2"/>
      <c r="K2" s="2"/>
    </row>
    <row r="3" spans="1:11" x14ac:dyDescent="0.25">
      <c r="A3" s="207" t="s">
        <v>1520</v>
      </c>
      <c r="B3" s="207"/>
      <c r="C3" s="207"/>
      <c r="D3" s="207"/>
      <c r="E3" s="207"/>
      <c r="F3" s="207"/>
      <c r="G3" s="207"/>
      <c r="H3" s="207"/>
      <c r="I3" s="2"/>
      <c r="J3" s="2"/>
      <c r="K3" s="2"/>
    </row>
    <row r="4" spans="1:11" ht="16.5" thickBot="1" x14ac:dyDescent="0.3">
      <c r="A4" s="207" t="s">
        <v>1</v>
      </c>
      <c r="B4" s="207"/>
      <c r="C4" s="207"/>
      <c r="D4" s="207"/>
      <c r="E4" s="207"/>
      <c r="F4" s="207"/>
      <c r="G4" s="207"/>
      <c r="H4" s="207"/>
      <c r="I4" s="2"/>
      <c r="J4" s="2"/>
      <c r="K4" s="2"/>
    </row>
    <row r="5" spans="1:11" ht="19.5" thickBot="1" x14ac:dyDescent="0.3">
      <c r="A5" s="207" t="s">
        <v>485</v>
      </c>
      <c r="B5" s="207"/>
      <c r="C5" s="249">
        <f>G220</f>
        <v>52989800</v>
      </c>
      <c r="D5" s="340">
        <f>H220</f>
        <v>90600.501831005007</v>
      </c>
      <c r="E5" s="207"/>
      <c r="F5" s="207"/>
      <c r="G5" s="207"/>
      <c r="H5" s="207"/>
      <c r="I5" s="2"/>
      <c r="J5" s="2"/>
      <c r="K5" s="2"/>
    </row>
    <row r="6" spans="1:11" ht="16.5" thickBot="1" x14ac:dyDescent="0.3">
      <c r="A6" s="207" t="s">
        <v>1539</v>
      </c>
      <c r="B6" s="207"/>
      <c r="C6" s="207"/>
      <c r="D6" s="207"/>
      <c r="E6" s="207"/>
      <c r="F6" s="207"/>
      <c r="G6" s="207"/>
      <c r="H6" s="207"/>
      <c r="I6" s="2"/>
      <c r="J6" s="2"/>
      <c r="K6" s="2"/>
    </row>
    <row r="7" spans="1:11" ht="17.25" customHeight="1" thickBot="1" x14ac:dyDescent="0.3">
      <c r="A7" s="773" t="s">
        <v>3</v>
      </c>
      <c r="B7" s="774"/>
      <c r="C7" s="774"/>
      <c r="D7" s="774"/>
      <c r="E7" s="774"/>
      <c r="F7" s="774"/>
      <c r="G7" s="570"/>
      <c r="H7" s="571"/>
      <c r="I7" s="535" t="s">
        <v>4</v>
      </c>
      <c r="J7" s="534"/>
      <c r="K7" s="535"/>
    </row>
    <row r="8" spans="1:11" ht="16.5" thickBot="1" x14ac:dyDescent="0.3">
      <c r="A8" s="211" t="s">
        <v>1540</v>
      </c>
      <c r="B8" s="212" t="s">
        <v>1533</v>
      </c>
      <c r="C8" s="212" t="s">
        <v>8</v>
      </c>
      <c r="D8" s="213" t="s">
        <v>9</v>
      </c>
      <c r="E8" s="212" t="s">
        <v>10</v>
      </c>
      <c r="F8" s="213" t="s">
        <v>11</v>
      </c>
      <c r="G8" s="214" t="s">
        <v>12</v>
      </c>
      <c r="H8" s="579" t="s">
        <v>1532</v>
      </c>
      <c r="I8" s="580" t="s">
        <v>1533</v>
      </c>
      <c r="J8" s="543" t="s">
        <v>7</v>
      </c>
      <c r="K8" s="540" t="s">
        <v>13</v>
      </c>
    </row>
    <row r="9" spans="1:11" ht="54.75" thickBot="1" x14ac:dyDescent="0.3">
      <c r="A9" s="14"/>
      <c r="B9" s="206" t="s">
        <v>428</v>
      </c>
      <c r="C9" s="212"/>
      <c r="D9" s="213"/>
      <c r="E9" s="212"/>
      <c r="F9" s="213"/>
      <c r="G9" s="538"/>
      <c r="H9" s="539"/>
      <c r="I9" s="695" t="s">
        <v>1613</v>
      </c>
      <c r="J9" s="696" t="s">
        <v>1624</v>
      </c>
      <c r="K9" s="10"/>
    </row>
    <row r="10" spans="1:11" ht="16.5" thickBot="1" x14ac:dyDescent="0.3">
      <c r="A10" s="201"/>
      <c r="B10" s="202"/>
      <c r="C10" s="202"/>
      <c r="D10" s="203"/>
      <c r="E10" s="202"/>
      <c r="F10" s="203"/>
      <c r="G10" s="204"/>
      <c r="H10" s="339"/>
      <c r="I10" s="10"/>
      <c r="J10" s="10"/>
      <c r="K10" s="10"/>
    </row>
    <row r="11" spans="1:11" ht="16.5" thickBot="1" x14ac:dyDescent="0.3">
      <c r="A11" s="22">
        <v>1</v>
      </c>
      <c r="B11" s="26" t="s">
        <v>823</v>
      </c>
      <c r="C11" s="23" t="s">
        <v>28</v>
      </c>
      <c r="D11" s="24">
        <v>10</v>
      </c>
      <c r="E11" s="23">
        <v>10</v>
      </c>
      <c r="F11" s="25">
        <v>7500</v>
      </c>
      <c r="G11" s="346">
        <f t="shared" ref="G11:G16" si="0">D11*E11*F11</f>
        <v>750000</v>
      </c>
      <c r="H11" s="347">
        <f>G11/589.84</f>
        <v>1271.5312627153126</v>
      </c>
      <c r="I11" s="689">
        <f>G11*0.03</f>
        <v>22500</v>
      </c>
      <c r="J11" s="642">
        <f>1600*D11</f>
        <v>16000</v>
      </c>
      <c r="K11" s="642">
        <f t="shared" ref="K11:K16" si="1">G11/D11</f>
        <v>75000</v>
      </c>
    </row>
    <row r="12" spans="1:11" x14ac:dyDescent="0.25">
      <c r="A12" s="22">
        <v>2</v>
      </c>
      <c r="B12" s="26" t="s">
        <v>824</v>
      </c>
      <c r="C12" s="23" t="s">
        <v>28</v>
      </c>
      <c r="D12" s="24">
        <v>5</v>
      </c>
      <c r="E12" s="23">
        <v>10</v>
      </c>
      <c r="F12" s="25">
        <v>3000</v>
      </c>
      <c r="G12" s="25">
        <f t="shared" si="0"/>
        <v>150000</v>
      </c>
      <c r="H12" s="268">
        <f t="shared" ref="H12:H16" si="2">G12/589.84</f>
        <v>254.3062525430625</v>
      </c>
      <c r="I12" s="642">
        <f t="shared" ref="I12:I16" si="3">G12*0.03</f>
        <v>4500</v>
      </c>
      <c r="J12" s="642">
        <f>1050*D12</f>
        <v>5250</v>
      </c>
      <c r="K12" s="642">
        <f t="shared" si="1"/>
        <v>30000</v>
      </c>
    </row>
    <row r="13" spans="1:11" x14ac:dyDescent="0.25">
      <c r="A13" s="22">
        <v>3</v>
      </c>
      <c r="B13" s="26" t="s">
        <v>825</v>
      </c>
      <c r="C13" s="23" t="s">
        <v>28</v>
      </c>
      <c r="D13" s="24">
        <v>1</v>
      </c>
      <c r="E13" s="23">
        <v>10</v>
      </c>
      <c r="F13" s="25">
        <v>7500</v>
      </c>
      <c r="G13" s="25">
        <f t="shared" si="0"/>
        <v>75000</v>
      </c>
      <c r="H13" s="268">
        <f t="shared" si="2"/>
        <v>127.15312627153125</v>
      </c>
      <c r="I13" s="642">
        <f t="shared" si="3"/>
        <v>2250</v>
      </c>
      <c r="J13" s="642">
        <f>1600*D13</f>
        <v>1600</v>
      </c>
      <c r="K13" s="642">
        <f t="shared" si="1"/>
        <v>75000</v>
      </c>
    </row>
    <row r="14" spans="1:11" x14ac:dyDescent="0.25">
      <c r="A14" s="22">
        <v>4</v>
      </c>
      <c r="B14" s="26" t="s">
        <v>1365</v>
      </c>
      <c r="C14" s="23" t="s">
        <v>28</v>
      </c>
      <c r="D14" s="24">
        <v>36</v>
      </c>
      <c r="E14" s="23">
        <v>7</v>
      </c>
      <c r="F14" s="25">
        <v>3000</v>
      </c>
      <c r="G14" s="25">
        <f t="shared" si="0"/>
        <v>756000</v>
      </c>
      <c r="H14" s="268">
        <f t="shared" ref="H14" si="4">G14/589.84</f>
        <v>1281.7035128170351</v>
      </c>
      <c r="I14" s="642">
        <f t="shared" si="3"/>
        <v>22680</v>
      </c>
      <c r="J14" s="642">
        <f>550*D14</f>
        <v>19800</v>
      </c>
      <c r="K14" s="642">
        <f t="shared" si="1"/>
        <v>21000</v>
      </c>
    </row>
    <row r="15" spans="1:11" x14ac:dyDescent="0.25">
      <c r="A15" s="22">
        <v>5</v>
      </c>
      <c r="B15" s="26" t="s">
        <v>1345</v>
      </c>
      <c r="C15" s="23" t="s">
        <v>28</v>
      </c>
      <c r="D15" s="24">
        <v>1</v>
      </c>
      <c r="E15" s="23">
        <v>10</v>
      </c>
      <c r="F15" s="25">
        <v>8000</v>
      </c>
      <c r="G15" s="25">
        <f t="shared" si="0"/>
        <v>80000</v>
      </c>
      <c r="H15" s="268">
        <f t="shared" ref="H15" si="5">G15/589.84</f>
        <v>135.6300013563</v>
      </c>
      <c r="I15" s="642">
        <f t="shared" si="3"/>
        <v>2400</v>
      </c>
      <c r="J15" s="642">
        <f>1600*D15</f>
        <v>1600</v>
      </c>
      <c r="K15" s="642">
        <f t="shared" si="1"/>
        <v>80000</v>
      </c>
    </row>
    <row r="16" spans="1:11" ht="16.5" thickBot="1" x14ac:dyDescent="0.3">
      <c r="A16" s="22">
        <v>6</v>
      </c>
      <c r="B16" s="26" t="s">
        <v>826</v>
      </c>
      <c r="C16" s="23" t="s">
        <v>28</v>
      </c>
      <c r="D16" s="24">
        <v>1</v>
      </c>
      <c r="E16" s="23">
        <v>10</v>
      </c>
      <c r="F16" s="25">
        <v>8000</v>
      </c>
      <c r="G16" s="25">
        <f t="shared" si="0"/>
        <v>80000</v>
      </c>
      <c r="H16" s="268">
        <f t="shared" si="2"/>
        <v>135.6300013563</v>
      </c>
      <c r="I16" s="642">
        <f t="shared" si="3"/>
        <v>2400</v>
      </c>
      <c r="J16" s="642">
        <f>1600*D16</f>
        <v>1600</v>
      </c>
      <c r="K16" s="642">
        <f t="shared" si="1"/>
        <v>80000</v>
      </c>
    </row>
    <row r="17" spans="1:11" ht="18.75" thickBot="1" x14ac:dyDescent="0.3">
      <c r="A17" s="341"/>
      <c r="B17" s="342" t="s">
        <v>1399</v>
      </c>
      <c r="C17" s="343"/>
      <c r="D17" s="343"/>
      <c r="E17" s="343"/>
      <c r="F17" s="344"/>
      <c r="G17" s="344">
        <f>SUM(G11:G16)</f>
        <v>1891000</v>
      </c>
      <c r="H17" s="345">
        <f>SUM(H11:H16)</f>
        <v>3205.9541570595411</v>
      </c>
      <c r="I17" s="263">
        <f>SUM(I11:I16)</f>
        <v>56730</v>
      </c>
      <c r="J17" s="263">
        <f>SUM(J11:J16)</f>
        <v>45850</v>
      </c>
      <c r="K17" s="12"/>
    </row>
    <row r="18" spans="1:11" ht="16.5" thickBot="1" x14ac:dyDescent="0.3">
      <c r="A18" s="22">
        <v>1</v>
      </c>
      <c r="B18" s="26" t="s">
        <v>827</v>
      </c>
      <c r="C18" s="23" t="s">
        <v>28</v>
      </c>
      <c r="D18" s="24">
        <v>30</v>
      </c>
      <c r="E18" s="23">
        <v>10</v>
      </c>
      <c r="F18" s="25">
        <v>7500</v>
      </c>
      <c r="G18" s="25">
        <f t="shared" ref="G18:G23" si="6">D18*E18*F18</f>
        <v>2250000</v>
      </c>
      <c r="H18" s="347">
        <f>G18/589.84</f>
        <v>3814.5937881459377</v>
      </c>
      <c r="I18" s="689">
        <f t="shared" ref="I18:I23" si="7">G18*0.03</f>
        <v>67500</v>
      </c>
      <c r="J18" s="642">
        <f>1600*D18</f>
        <v>48000</v>
      </c>
      <c r="K18" s="642">
        <f t="shared" ref="K18:K23" si="8">G18/D18</f>
        <v>75000</v>
      </c>
    </row>
    <row r="19" spans="1:11" x14ac:dyDescent="0.25">
      <c r="A19" s="22">
        <v>2</v>
      </c>
      <c r="B19" s="26" t="s">
        <v>828</v>
      </c>
      <c r="C19" s="23" t="s">
        <v>28</v>
      </c>
      <c r="D19" s="24">
        <v>15</v>
      </c>
      <c r="E19" s="23">
        <v>10</v>
      </c>
      <c r="F19" s="25">
        <v>3000</v>
      </c>
      <c r="G19" s="25">
        <f t="shared" si="6"/>
        <v>450000</v>
      </c>
      <c r="H19" s="268">
        <f t="shared" ref="H19:H23" si="9">G19/589.84</f>
        <v>762.91875762918755</v>
      </c>
      <c r="I19" s="642">
        <f t="shared" si="7"/>
        <v>13500</v>
      </c>
      <c r="J19" s="642">
        <f>1050*D19</f>
        <v>15750</v>
      </c>
      <c r="K19" s="642">
        <f t="shared" si="8"/>
        <v>30000</v>
      </c>
    </row>
    <row r="20" spans="1:11" x14ac:dyDescent="0.25">
      <c r="A20" s="22">
        <v>3</v>
      </c>
      <c r="B20" s="26" t="s">
        <v>829</v>
      </c>
      <c r="C20" s="23" t="s">
        <v>28</v>
      </c>
      <c r="D20" s="24">
        <v>1</v>
      </c>
      <c r="E20" s="23">
        <v>10</v>
      </c>
      <c r="F20" s="25">
        <v>7500</v>
      </c>
      <c r="G20" s="25">
        <f t="shared" si="6"/>
        <v>75000</v>
      </c>
      <c r="H20" s="268">
        <f t="shared" si="9"/>
        <v>127.15312627153125</v>
      </c>
      <c r="I20" s="642">
        <f t="shared" si="7"/>
        <v>2250</v>
      </c>
      <c r="J20" s="642">
        <f>1600*D20</f>
        <v>1600</v>
      </c>
      <c r="K20" s="642">
        <f t="shared" si="8"/>
        <v>75000</v>
      </c>
    </row>
    <row r="21" spans="1:11" x14ac:dyDescent="0.25">
      <c r="A21" s="22">
        <v>4</v>
      </c>
      <c r="B21" s="26" t="s">
        <v>1365</v>
      </c>
      <c r="C21" s="23" t="s">
        <v>28</v>
      </c>
      <c r="D21" s="24">
        <v>61</v>
      </c>
      <c r="E21" s="23">
        <v>7</v>
      </c>
      <c r="F21" s="25">
        <v>3000</v>
      </c>
      <c r="G21" s="25">
        <f t="shared" si="6"/>
        <v>1281000</v>
      </c>
      <c r="H21" s="268">
        <f t="shared" si="9"/>
        <v>2171.7753967177537</v>
      </c>
      <c r="I21" s="642">
        <f t="shared" si="7"/>
        <v>38430</v>
      </c>
      <c r="J21" s="642">
        <f>550*D21</f>
        <v>33550</v>
      </c>
      <c r="K21" s="642">
        <f t="shared" si="8"/>
        <v>21000</v>
      </c>
    </row>
    <row r="22" spans="1:11" x14ac:dyDescent="0.25">
      <c r="A22" s="22">
        <v>5</v>
      </c>
      <c r="B22" s="26" t="s">
        <v>1345</v>
      </c>
      <c r="C22" s="23" t="s">
        <v>28</v>
      </c>
      <c r="D22" s="24">
        <v>1</v>
      </c>
      <c r="E22" s="23">
        <v>10</v>
      </c>
      <c r="F22" s="25">
        <v>8000</v>
      </c>
      <c r="G22" s="25">
        <f t="shared" si="6"/>
        <v>80000</v>
      </c>
      <c r="H22" s="268">
        <f t="shared" ref="H22" si="10">G22/589.84</f>
        <v>135.6300013563</v>
      </c>
      <c r="I22" s="642">
        <f t="shared" si="7"/>
        <v>2400</v>
      </c>
      <c r="J22" s="642">
        <f>1600*D22</f>
        <v>1600</v>
      </c>
      <c r="K22" s="642">
        <f t="shared" si="8"/>
        <v>80000</v>
      </c>
    </row>
    <row r="23" spans="1:11" ht="16.5" thickBot="1" x14ac:dyDescent="0.3">
      <c r="A23" s="22">
        <v>6</v>
      </c>
      <c r="B23" s="26" t="s">
        <v>830</v>
      </c>
      <c r="C23" s="23" t="s">
        <v>28</v>
      </c>
      <c r="D23" s="24">
        <v>4</v>
      </c>
      <c r="E23" s="23">
        <v>10</v>
      </c>
      <c r="F23" s="25">
        <v>8000</v>
      </c>
      <c r="G23" s="25">
        <f t="shared" si="6"/>
        <v>320000</v>
      </c>
      <c r="H23" s="268">
        <f t="shared" si="9"/>
        <v>542.5200054252</v>
      </c>
      <c r="I23" s="642">
        <f t="shared" si="7"/>
        <v>9600</v>
      </c>
      <c r="J23" s="642">
        <f>1600*D23</f>
        <v>6400</v>
      </c>
      <c r="K23" s="642">
        <f t="shared" si="8"/>
        <v>80000</v>
      </c>
    </row>
    <row r="24" spans="1:11" ht="18.75" thickBot="1" x14ac:dyDescent="0.3">
      <c r="A24" s="341"/>
      <c r="B24" s="342" t="s">
        <v>1399</v>
      </c>
      <c r="C24" s="343"/>
      <c r="D24" s="343"/>
      <c r="E24" s="343"/>
      <c r="F24" s="344"/>
      <c r="G24" s="344">
        <f>SUM(G18:G23)</f>
        <v>4456000</v>
      </c>
      <c r="H24" s="345">
        <f>SUM(H18:H23)</f>
        <v>7554.5910755459099</v>
      </c>
      <c r="I24" s="263">
        <f>SUM(I18:I23)</f>
        <v>133680</v>
      </c>
      <c r="J24" s="263">
        <f>SUM(J18:J23)</f>
        <v>106900</v>
      </c>
      <c r="K24" s="12"/>
    </row>
    <row r="25" spans="1:11" ht="16.5" thickBot="1" x14ac:dyDescent="0.3">
      <c r="A25" s="22">
        <v>1</v>
      </c>
      <c r="B25" s="26" t="s">
        <v>831</v>
      </c>
      <c r="C25" s="23" t="s">
        <v>28</v>
      </c>
      <c r="D25" s="24">
        <v>8</v>
      </c>
      <c r="E25" s="23">
        <v>10</v>
      </c>
      <c r="F25" s="25">
        <v>7500</v>
      </c>
      <c r="G25" s="25">
        <f t="shared" ref="G25:G30" si="11">D25*E25*F25</f>
        <v>600000</v>
      </c>
      <c r="H25" s="347">
        <f>G25/589.84</f>
        <v>1017.22501017225</v>
      </c>
      <c r="I25" s="642">
        <f t="shared" ref="I25:I30" si="12">G25*0.03</f>
        <v>18000</v>
      </c>
      <c r="J25" s="642">
        <f>1600*D25</f>
        <v>12800</v>
      </c>
      <c r="K25" s="642">
        <f t="shared" ref="K25:K30" si="13">G25/D25</f>
        <v>75000</v>
      </c>
    </row>
    <row r="26" spans="1:11" x14ac:dyDescent="0.25">
      <c r="A26" s="22">
        <v>2</v>
      </c>
      <c r="B26" s="26" t="s">
        <v>832</v>
      </c>
      <c r="C26" s="23" t="s">
        <v>28</v>
      </c>
      <c r="D26" s="24">
        <v>4</v>
      </c>
      <c r="E26" s="23">
        <v>10</v>
      </c>
      <c r="F26" s="25">
        <v>3000</v>
      </c>
      <c r="G26" s="25">
        <f t="shared" si="11"/>
        <v>120000</v>
      </c>
      <c r="H26" s="268">
        <f t="shared" ref="H26:H30" si="14">G26/589.84</f>
        <v>203.44500203445</v>
      </c>
      <c r="I26" s="642">
        <f t="shared" si="12"/>
        <v>3600</v>
      </c>
      <c r="J26" s="642">
        <f>1050*D26</f>
        <v>4200</v>
      </c>
      <c r="K26" s="642">
        <f t="shared" si="13"/>
        <v>30000</v>
      </c>
    </row>
    <row r="27" spans="1:11" x14ac:dyDescent="0.25">
      <c r="A27" s="22">
        <v>3</v>
      </c>
      <c r="B27" s="26" t="s">
        <v>833</v>
      </c>
      <c r="C27" s="23" t="s">
        <v>28</v>
      </c>
      <c r="D27" s="24">
        <v>1</v>
      </c>
      <c r="E27" s="23">
        <v>10</v>
      </c>
      <c r="F27" s="25">
        <v>7500</v>
      </c>
      <c r="G27" s="25">
        <f t="shared" si="11"/>
        <v>75000</v>
      </c>
      <c r="H27" s="268">
        <f t="shared" si="14"/>
        <v>127.15312627153125</v>
      </c>
      <c r="I27" s="642">
        <f t="shared" si="12"/>
        <v>2250</v>
      </c>
      <c r="J27" s="642">
        <f>1600*D27</f>
        <v>1600</v>
      </c>
      <c r="K27" s="642">
        <f t="shared" si="13"/>
        <v>75000</v>
      </c>
    </row>
    <row r="28" spans="1:11" x14ac:dyDescent="0.25">
      <c r="A28" s="22">
        <v>4</v>
      </c>
      <c r="B28" s="26" t="s">
        <v>1365</v>
      </c>
      <c r="C28" s="23" t="s">
        <v>28</v>
      </c>
      <c r="D28" s="24">
        <v>35</v>
      </c>
      <c r="E28" s="23">
        <v>7</v>
      </c>
      <c r="F28" s="25">
        <v>3000</v>
      </c>
      <c r="G28" s="25">
        <f t="shared" si="11"/>
        <v>735000</v>
      </c>
      <c r="H28" s="268">
        <f t="shared" si="14"/>
        <v>1246.1006374610063</v>
      </c>
      <c r="I28" s="642">
        <f t="shared" si="12"/>
        <v>22050</v>
      </c>
      <c r="J28" s="642">
        <f>550*D28</f>
        <v>19250</v>
      </c>
      <c r="K28" s="642">
        <f t="shared" si="13"/>
        <v>21000</v>
      </c>
    </row>
    <row r="29" spans="1:11" x14ac:dyDescent="0.25">
      <c r="A29" s="22">
        <v>5</v>
      </c>
      <c r="B29" s="26" t="s">
        <v>1345</v>
      </c>
      <c r="C29" s="23" t="s">
        <v>28</v>
      </c>
      <c r="D29" s="24">
        <v>1</v>
      </c>
      <c r="E29" s="23">
        <v>10</v>
      </c>
      <c r="F29" s="25">
        <v>8000</v>
      </c>
      <c r="G29" s="25">
        <f t="shared" si="11"/>
        <v>80000</v>
      </c>
      <c r="H29" s="268">
        <f t="shared" ref="H29" si="15">G29/589.84</f>
        <v>135.6300013563</v>
      </c>
      <c r="I29" s="642">
        <f t="shared" si="12"/>
        <v>2400</v>
      </c>
      <c r="J29" s="642">
        <f>1600*D29</f>
        <v>1600</v>
      </c>
      <c r="K29" s="642">
        <f t="shared" si="13"/>
        <v>80000</v>
      </c>
    </row>
    <row r="30" spans="1:11" ht="16.5" thickBot="1" x14ac:dyDescent="0.3">
      <c r="A30" s="22">
        <v>6</v>
      </c>
      <c r="B30" s="26" t="s">
        <v>834</v>
      </c>
      <c r="C30" s="23" t="s">
        <v>28</v>
      </c>
      <c r="D30" s="24">
        <v>1</v>
      </c>
      <c r="E30" s="23">
        <v>10</v>
      </c>
      <c r="F30" s="25">
        <v>8000</v>
      </c>
      <c r="G30" s="25">
        <f t="shared" si="11"/>
        <v>80000</v>
      </c>
      <c r="H30" s="268">
        <f t="shared" si="14"/>
        <v>135.6300013563</v>
      </c>
      <c r="I30" s="642">
        <f t="shared" si="12"/>
        <v>2400</v>
      </c>
      <c r="J30" s="642">
        <f>1600*D30</f>
        <v>1600</v>
      </c>
      <c r="K30" s="642">
        <f t="shared" si="13"/>
        <v>80000</v>
      </c>
    </row>
    <row r="31" spans="1:11" ht="18.75" thickBot="1" x14ac:dyDescent="0.3">
      <c r="A31" s="341"/>
      <c r="B31" s="342" t="s">
        <v>1399</v>
      </c>
      <c r="C31" s="343"/>
      <c r="D31" s="343"/>
      <c r="E31" s="343"/>
      <c r="F31" s="344"/>
      <c r="G31" s="344">
        <f>SUM(G25:G30)</f>
        <v>1690000</v>
      </c>
      <c r="H31" s="345">
        <f>SUM(H25:H30)</f>
        <v>2865.1837786518372</v>
      </c>
      <c r="I31" s="263">
        <f>SUM(I25:I30)</f>
        <v>50700</v>
      </c>
      <c r="J31" s="263">
        <f>SUM(J25:J30)</f>
        <v>41050</v>
      </c>
      <c r="K31" s="12"/>
    </row>
    <row r="32" spans="1:11" ht="16.5" thickBot="1" x14ac:dyDescent="0.3">
      <c r="A32" s="22">
        <v>1</v>
      </c>
      <c r="B32" s="26" t="s">
        <v>835</v>
      </c>
      <c r="C32" s="23" t="s">
        <v>28</v>
      </c>
      <c r="D32" s="24">
        <v>8</v>
      </c>
      <c r="E32" s="23">
        <v>10</v>
      </c>
      <c r="F32" s="25">
        <v>7500</v>
      </c>
      <c r="G32" s="25">
        <f t="shared" ref="G32:G37" si="16">D32*E32*F32</f>
        <v>600000</v>
      </c>
      <c r="H32" s="347">
        <f>G32/589.84</f>
        <v>1017.22501017225</v>
      </c>
      <c r="I32" s="642">
        <f t="shared" ref="I32:I37" si="17">G32*0.03</f>
        <v>18000</v>
      </c>
      <c r="J32" s="642">
        <f>1600*D32</f>
        <v>12800</v>
      </c>
      <c r="K32" s="642">
        <f t="shared" ref="K32:K37" si="18">G32/D32</f>
        <v>75000</v>
      </c>
    </row>
    <row r="33" spans="1:11" x14ac:dyDescent="0.25">
      <c r="A33" s="22">
        <v>2</v>
      </c>
      <c r="B33" s="26" t="s">
        <v>836</v>
      </c>
      <c r="C33" s="23" t="s">
        <v>28</v>
      </c>
      <c r="D33" s="24">
        <v>4</v>
      </c>
      <c r="E33" s="23">
        <v>10</v>
      </c>
      <c r="F33" s="25">
        <v>3000</v>
      </c>
      <c r="G33" s="25">
        <f t="shared" si="16"/>
        <v>120000</v>
      </c>
      <c r="H33" s="268">
        <f t="shared" ref="H33:H37" si="19">G33/589.84</f>
        <v>203.44500203445</v>
      </c>
      <c r="I33" s="642">
        <f t="shared" si="17"/>
        <v>3600</v>
      </c>
      <c r="J33" s="642">
        <f>1050*D33</f>
        <v>4200</v>
      </c>
      <c r="K33" s="642">
        <f t="shared" si="18"/>
        <v>30000</v>
      </c>
    </row>
    <row r="34" spans="1:11" x14ac:dyDescent="0.25">
      <c r="A34" s="22">
        <v>3</v>
      </c>
      <c r="B34" s="26" t="s">
        <v>837</v>
      </c>
      <c r="C34" s="23" t="s">
        <v>28</v>
      </c>
      <c r="D34" s="24">
        <v>1</v>
      </c>
      <c r="E34" s="23">
        <v>10</v>
      </c>
      <c r="F34" s="25">
        <v>7500</v>
      </c>
      <c r="G34" s="25">
        <f t="shared" si="16"/>
        <v>75000</v>
      </c>
      <c r="H34" s="268">
        <f t="shared" si="19"/>
        <v>127.15312627153125</v>
      </c>
      <c r="I34" s="642">
        <f t="shared" si="17"/>
        <v>2250</v>
      </c>
      <c r="J34" s="642">
        <f>1600*D34</f>
        <v>1600</v>
      </c>
      <c r="K34" s="642">
        <f t="shared" si="18"/>
        <v>75000</v>
      </c>
    </row>
    <row r="35" spans="1:11" x14ac:dyDescent="0.25">
      <c r="A35" s="22">
        <v>4</v>
      </c>
      <c r="B35" s="26" t="s">
        <v>1365</v>
      </c>
      <c r="C35" s="23" t="s">
        <v>28</v>
      </c>
      <c r="D35" s="24">
        <v>32</v>
      </c>
      <c r="E35" s="23">
        <v>7</v>
      </c>
      <c r="F35" s="25">
        <v>3000</v>
      </c>
      <c r="G35" s="25">
        <f t="shared" si="16"/>
        <v>672000</v>
      </c>
      <c r="H35" s="268">
        <f t="shared" si="19"/>
        <v>1139.2920113929201</v>
      </c>
      <c r="I35" s="642">
        <f t="shared" si="17"/>
        <v>20160</v>
      </c>
      <c r="J35" s="642">
        <f>550*D35</f>
        <v>17600</v>
      </c>
      <c r="K35" s="642">
        <f t="shared" si="18"/>
        <v>21000</v>
      </c>
    </row>
    <row r="36" spans="1:11" x14ac:dyDescent="0.25">
      <c r="A36" s="22">
        <v>5</v>
      </c>
      <c r="B36" s="26" t="s">
        <v>1345</v>
      </c>
      <c r="C36" s="23" t="s">
        <v>28</v>
      </c>
      <c r="D36" s="24">
        <v>1</v>
      </c>
      <c r="E36" s="23">
        <v>10</v>
      </c>
      <c r="F36" s="25">
        <v>8000</v>
      </c>
      <c r="G36" s="25">
        <f t="shared" si="16"/>
        <v>80000</v>
      </c>
      <c r="H36" s="268">
        <f t="shared" ref="H36" si="20">G36/589.84</f>
        <v>135.6300013563</v>
      </c>
      <c r="I36" s="642">
        <f t="shared" si="17"/>
        <v>2400</v>
      </c>
      <c r="J36" s="642">
        <f>1600*D36</f>
        <v>1600</v>
      </c>
      <c r="K36" s="642">
        <f t="shared" si="18"/>
        <v>80000</v>
      </c>
    </row>
    <row r="37" spans="1:11" ht="16.5" thickBot="1" x14ac:dyDescent="0.3">
      <c r="A37" s="22">
        <v>6</v>
      </c>
      <c r="B37" s="26" t="s">
        <v>391</v>
      </c>
      <c r="C37" s="23" t="s">
        <v>28</v>
      </c>
      <c r="D37" s="24">
        <v>1</v>
      </c>
      <c r="E37" s="23">
        <v>10</v>
      </c>
      <c r="F37" s="25">
        <v>8000</v>
      </c>
      <c r="G37" s="25">
        <f t="shared" si="16"/>
        <v>80000</v>
      </c>
      <c r="H37" s="268">
        <f t="shared" si="19"/>
        <v>135.6300013563</v>
      </c>
      <c r="I37" s="642">
        <f t="shared" si="17"/>
        <v>2400</v>
      </c>
      <c r="J37" s="642">
        <f>1600*D37</f>
        <v>1600</v>
      </c>
      <c r="K37" s="642">
        <f t="shared" si="18"/>
        <v>80000</v>
      </c>
    </row>
    <row r="38" spans="1:11" ht="18.75" thickBot="1" x14ac:dyDescent="0.3">
      <c r="A38" s="341"/>
      <c r="B38" s="342" t="s">
        <v>1399</v>
      </c>
      <c r="C38" s="343"/>
      <c r="D38" s="343"/>
      <c r="E38" s="343"/>
      <c r="F38" s="344"/>
      <c r="G38" s="344">
        <f>SUM(G32:G37)</f>
        <v>1627000</v>
      </c>
      <c r="H38" s="345">
        <f>SUM(H32:H37)</f>
        <v>2758.3751525837515</v>
      </c>
      <c r="I38" s="263">
        <f t="shared" ref="I38" si="21">SUM(I32:I37)</f>
        <v>48810</v>
      </c>
      <c r="J38" s="263">
        <f>SUM(J32:J37)</f>
        <v>39400</v>
      </c>
      <c r="K38" s="12"/>
    </row>
    <row r="39" spans="1:11" ht="16.5" thickBot="1" x14ac:dyDescent="0.3">
      <c r="A39" s="22">
        <v>1</v>
      </c>
      <c r="B39" s="26" t="s">
        <v>838</v>
      </c>
      <c r="C39" s="23" t="s">
        <v>28</v>
      </c>
      <c r="D39" s="24">
        <v>12</v>
      </c>
      <c r="E39" s="23">
        <v>10</v>
      </c>
      <c r="F39" s="25">
        <v>7500</v>
      </c>
      <c r="G39" s="25">
        <f t="shared" ref="G39:G44" si="22">D39*E39*F39</f>
        <v>900000</v>
      </c>
      <c r="H39" s="347">
        <f>G39/589.84</f>
        <v>1525.8375152583751</v>
      </c>
      <c r="I39" s="642">
        <f t="shared" ref="I39:I44" si="23">G39*0.03</f>
        <v>27000</v>
      </c>
      <c r="J39" s="642">
        <f>1600*D39</f>
        <v>19200</v>
      </c>
      <c r="K39" s="642">
        <f t="shared" ref="K39:K44" si="24">G39/D39</f>
        <v>75000</v>
      </c>
    </row>
    <row r="40" spans="1:11" x14ac:dyDescent="0.25">
      <c r="A40" s="22">
        <v>2</v>
      </c>
      <c r="B40" s="26" t="s">
        <v>839</v>
      </c>
      <c r="C40" s="23" t="s">
        <v>28</v>
      </c>
      <c r="D40" s="24">
        <v>6</v>
      </c>
      <c r="E40" s="23">
        <v>10</v>
      </c>
      <c r="F40" s="25">
        <v>3000</v>
      </c>
      <c r="G40" s="25">
        <f t="shared" si="22"/>
        <v>180000</v>
      </c>
      <c r="H40" s="268">
        <f t="shared" ref="H40:H44" si="25">G40/589.84</f>
        <v>305.167503051675</v>
      </c>
      <c r="I40" s="642">
        <f t="shared" si="23"/>
        <v>5400</v>
      </c>
      <c r="J40" s="642">
        <f>1050*D40</f>
        <v>6300</v>
      </c>
      <c r="K40" s="642">
        <f t="shared" si="24"/>
        <v>30000</v>
      </c>
    </row>
    <row r="41" spans="1:11" x14ac:dyDescent="0.25">
      <c r="A41" s="22">
        <v>3</v>
      </c>
      <c r="B41" s="26" t="s">
        <v>840</v>
      </c>
      <c r="C41" s="23" t="s">
        <v>28</v>
      </c>
      <c r="D41" s="24">
        <v>1</v>
      </c>
      <c r="E41" s="23">
        <v>10</v>
      </c>
      <c r="F41" s="25">
        <v>7500</v>
      </c>
      <c r="G41" s="25">
        <f t="shared" si="22"/>
        <v>75000</v>
      </c>
      <c r="H41" s="268">
        <f t="shared" si="25"/>
        <v>127.15312627153125</v>
      </c>
      <c r="I41" s="642">
        <f t="shared" si="23"/>
        <v>2250</v>
      </c>
      <c r="J41" s="642">
        <f>1600*D41</f>
        <v>1600</v>
      </c>
      <c r="K41" s="642">
        <f t="shared" si="24"/>
        <v>75000</v>
      </c>
    </row>
    <row r="42" spans="1:11" x14ac:dyDescent="0.25">
      <c r="A42" s="22">
        <v>4</v>
      </c>
      <c r="B42" s="26" t="s">
        <v>1365</v>
      </c>
      <c r="C42" s="23" t="s">
        <v>28</v>
      </c>
      <c r="D42" s="24">
        <v>43</v>
      </c>
      <c r="E42" s="23">
        <v>7</v>
      </c>
      <c r="F42" s="25">
        <v>3000</v>
      </c>
      <c r="G42" s="25">
        <f t="shared" si="22"/>
        <v>903000</v>
      </c>
      <c r="H42" s="268">
        <f t="shared" si="25"/>
        <v>1530.9236403092364</v>
      </c>
      <c r="I42" s="642">
        <f t="shared" si="23"/>
        <v>27090</v>
      </c>
      <c r="J42" s="642">
        <f>550*D42</f>
        <v>23650</v>
      </c>
      <c r="K42" s="642">
        <f t="shared" si="24"/>
        <v>21000</v>
      </c>
    </row>
    <row r="43" spans="1:11" x14ac:dyDescent="0.25">
      <c r="A43" s="22">
        <v>5</v>
      </c>
      <c r="B43" s="26" t="s">
        <v>1345</v>
      </c>
      <c r="C43" s="23" t="s">
        <v>28</v>
      </c>
      <c r="D43" s="24">
        <v>1</v>
      </c>
      <c r="E43" s="23">
        <v>10</v>
      </c>
      <c r="F43" s="25">
        <v>8000</v>
      </c>
      <c r="G43" s="25">
        <f t="shared" si="22"/>
        <v>80000</v>
      </c>
      <c r="H43" s="268"/>
      <c r="I43" s="642">
        <f t="shared" si="23"/>
        <v>2400</v>
      </c>
      <c r="J43" s="642">
        <f>1600*D43</f>
        <v>1600</v>
      </c>
      <c r="K43" s="642">
        <f t="shared" si="24"/>
        <v>80000</v>
      </c>
    </row>
    <row r="44" spans="1:11" ht="16.5" thickBot="1" x14ac:dyDescent="0.3">
      <c r="A44" s="22">
        <v>6</v>
      </c>
      <c r="B44" s="26" t="s">
        <v>841</v>
      </c>
      <c r="C44" s="23" t="s">
        <v>28</v>
      </c>
      <c r="D44" s="24">
        <v>2</v>
      </c>
      <c r="E44" s="23">
        <v>10</v>
      </c>
      <c r="F44" s="25">
        <v>8000</v>
      </c>
      <c r="G44" s="25">
        <f t="shared" si="22"/>
        <v>160000</v>
      </c>
      <c r="H44" s="268">
        <f t="shared" si="25"/>
        <v>271.2600027126</v>
      </c>
      <c r="I44" s="642">
        <f t="shared" si="23"/>
        <v>4800</v>
      </c>
      <c r="J44" s="642">
        <f>1600*D44</f>
        <v>3200</v>
      </c>
      <c r="K44" s="642">
        <f t="shared" si="24"/>
        <v>80000</v>
      </c>
    </row>
    <row r="45" spans="1:11" ht="18.75" thickBot="1" x14ac:dyDescent="0.3">
      <c r="A45" s="341"/>
      <c r="B45" s="342" t="s">
        <v>1399</v>
      </c>
      <c r="C45" s="343"/>
      <c r="D45" s="343"/>
      <c r="E45" s="343"/>
      <c r="F45" s="344"/>
      <c r="G45" s="344">
        <f>SUM(G39:G44)</f>
        <v>2298000</v>
      </c>
      <c r="H45" s="345">
        <f>SUM(H39:H44)</f>
        <v>3760.3417876034177</v>
      </c>
      <c r="I45" s="263">
        <f>SUM(I39:I44)</f>
        <v>68940</v>
      </c>
      <c r="J45" s="263">
        <f>SUM(J39:J44)</f>
        <v>55550</v>
      </c>
      <c r="K45" s="12"/>
    </row>
    <row r="46" spans="1:11" ht="16.5" thickBot="1" x14ac:dyDescent="0.3">
      <c r="A46" s="22">
        <v>1</v>
      </c>
      <c r="B46" s="26" t="s">
        <v>846</v>
      </c>
      <c r="C46" s="23" t="s">
        <v>28</v>
      </c>
      <c r="D46" s="24">
        <v>30</v>
      </c>
      <c r="E46" s="23">
        <v>10</v>
      </c>
      <c r="F46" s="25">
        <v>7500</v>
      </c>
      <c r="G46" s="25">
        <f t="shared" ref="G46:G51" si="26">D46*E46*F46</f>
        <v>2250000</v>
      </c>
      <c r="H46" s="347">
        <f>G46/589.84</f>
        <v>3814.5937881459377</v>
      </c>
      <c r="I46" s="642">
        <f t="shared" ref="I46:I51" si="27">G46*0.03</f>
        <v>67500</v>
      </c>
      <c r="J46" s="642">
        <f>1600*D46</f>
        <v>48000</v>
      </c>
      <c r="K46" s="642">
        <f t="shared" ref="K46:K51" si="28">G46/D46</f>
        <v>75000</v>
      </c>
    </row>
    <row r="47" spans="1:11" x14ac:dyDescent="0.25">
      <c r="A47" s="22">
        <v>2</v>
      </c>
      <c r="B47" s="26" t="s">
        <v>847</v>
      </c>
      <c r="C47" s="23" t="s">
        <v>28</v>
      </c>
      <c r="D47" s="24">
        <v>15</v>
      </c>
      <c r="E47" s="23">
        <v>10</v>
      </c>
      <c r="F47" s="25">
        <v>3000</v>
      </c>
      <c r="G47" s="25">
        <f t="shared" si="26"/>
        <v>450000</v>
      </c>
      <c r="H47" s="268">
        <f t="shared" ref="H47:H51" si="29">G47/589.84</f>
        <v>762.91875762918755</v>
      </c>
      <c r="I47" s="642">
        <f t="shared" si="27"/>
        <v>13500</v>
      </c>
      <c r="J47" s="642">
        <f>1050*D47</f>
        <v>15750</v>
      </c>
      <c r="K47" s="642">
        <f t="shared" si="28"/>
        <v>30000</v>
      </c>
    </row>
    <row r="48" spans="1:11" x14ac:dyDescent="0.25">
      <c r="A48" s="22">
        <v>3</v>
      </c>
      <c r="B48" s="26" t="s">
        <v>848</v>
      </c>
      <c r="C48" s="23" t="s">
        <v>28</v>
      </c>
      <c r="D48" s="24">
        <v>1</v>
      </c>
      <c r="E48" s="23">
        <v>10</v>
      </c>
      <c r="F48" s="25">
        <v>7500</v>
      </c>
      <c r="G48" s="25">
        <f t="shared" si="26"/>
        <v>75000</v>
      </c>
      <c r="H48" s="268">
        <f t="shared" si="29"/>
        <v>127.15312627153125</v>
      </c>
      <c r="I48" s="642">
        <f t="shared" si="27"/>
        <v>2250</v>
      </c>
      <c r="J48" s="642">
        <f>1600*D48</f>
        <v>1600</v>
      </c>
      <c r="K48" s="642">
        <f t="shared" si="28"/>
        <v>75000</v>
      </c>
    </row>
    <row r="49" spans="1:11" x14ac:dyDescent="0.25">
      <c r="A49" s="22">
        <v>4</v>
      </c>
      <c r="B49" s="26" t="s">
        <v>1365</v>
      </c>
      <c r="C49" s="23" t="s">
        <v>28</v>
      </c>
      <c r="D49" s="24">
        <v>63</v>
      </c>
      <c r="E49" s="23">
        <v>7</v>
      </c>
      <c r="F49" s="25">
        <v>3000</v>
      </c>
      <c r="G49" s="25">
        <f t="shared" si="26"/>
        <v>1323000</v>
      </c>
      <c r="H49" s="268">
        <f t="shared" si="29"/>
        <v>2242.9811474298112</v>
      </c>
      <c r="I49" s="642">
        <f t="shared" si="27"/>
        <v>39690</v>
      </c>
      <c r="J49" s="642">
        <f>550*D49</f>
        <v>34650</v>
      </c>
      <c r="K49" s="642">
        <f t="shared" si="28"/>
        <v>21000</v>
      </c>
    </row>
    <row r="50" spans="1:11" x14ac:dyDescent="0.25">
      <c r="A50" s="22">
        <v>5</v>
      </c>
      <c r="B50" s="26" t="s">
        <v>1345</v>
      </c>
      <c r="C50" s="23" t="s">
        <v>28</v>
      </c>
      <c r="D50" s="24">
        <v>1</v>
      </c>
      <c r="E50" s="23">
        <v>10</v>
      </c>
      <c r="F50" s="25">
        <v>8000</v>
      </c>
      <c r="G50" s="25">
        <f t="shared" si="26"/>
        <v>80000</v>
      </c>
      <c r="H50" s="268">
        <f t="shared" ref="H50" si="30">G50/589.84</f>
        <v>135.6300013563</v>
      </c>
      <c r="I50" s="642">
        <f t="shared" si="27"/>
        <v>2400</v>
      </c>
      <c r="J50" s="642">
        <f>1600*D50</f>
        <v>1600</v>
      </c>
      <c r="K50" s="642">
        <f t="shared" si="28"/>
        <v>80000</v>
      </c>
    </row>
    <row r="51" spans="1:11" ht="16.5" thickBot="1" x14ac:dyDescent="0.3">
      <c r="A51" s="22">
        <v>6</v>
      </c>
      <c r="B51" s="26" t="s">
        <v>849</v>
      </c>
      <c r="C51" s="23" t="s">
        <v>28</v>
      </c>
      <c r="D51" s="24">
        <v>4</v>
      </c>
      <c r="E51" s="23">
        <v>10</v>
      </c>
      <c r="F51" s="25">
        <v>8000</v>
      </c>
      <c r="G51" s="25">
        <f t="shared" si="26"/>
        <v>320000</v>
      </c>
      <c r="H51" s="268">
        <f t="shared" si="29"/>
        <v>542.5200054252</v>
      </c>
      <c r="I51" s="642">
        <f t="shared" si="27"/>
        <v>9600</v>
      </c>
      <c r="J51" s="642">
        <f>1600*D51</f>
        <v>6400</v>
      </c>
      <c r="K51" s="642">
        <f t="shared" si="28"/>
        <v>80000</v>
      </c>
    </row>
    <row r="52" spans="1:11" ht="18.75" thickBot="1" x14ac:dyDescent="0.3">
      <c r="A52" s="341"/>
      <c r="B52" s="342" t="s">
        <v>1399</v>
      </c>
      <c r="C52" s="343"/>
      <c r="D52" s="343"/>
      <c r="E52" s="343"/>
      <c r="F52" s="344"/>
      <c r="G52" s="344">
        <f>SUM(G46:G51)</f>
        <v>4498000</v>
      </c>
      <c r="H52" s="345">
        <f>SUM(H46:H51)</f>
        <v>7625.7968262579689</v>
      </c>
      <c r="I52" s="692">
        <f t="shared" ref="I52" si="31">SUM(I46:I51)</f>
        <v>134940</v>
      </c>
      <c r="J52" s="263">
        <f>SUM(J46:J51)</f>
        <v>108000</v>
      </c>
      <c r="K52" s="12"/>
    </row>
    <row r="53" spans="1:11" ht="16.5" thickBot="1" x14ac:dyDescent="0.3">
      <c r="A53" s="22">
        <v>1</v>
      </c>
      <c r="B53" s="26" t="s">
        <v>842</v>
      </c>
      <c r="C53" s="23" t="s">
        <v>28</v>
      </c>
      <c r="D53" s="24">
        <v>6</v>
      </c>
      <c r="E53" s="23">
        <v>10</v>
      </c>
      <c r="F53" s="25">
        <v>7500</v>
      </c>
      <c r="G53" s="25">
        <f t="shared" ref="G53:G58" si="32">D53*E53*F53</f>
        <v>450000</v>
      </c>
      <c r="H53" s="347">
        <f>G53/589.84</f>
        <v>762.91875762918755</v>
      </c>
      <c r="I53" s="642">
        <f t="shared" ref="I53:I57" si="33">G53*0.03</f>
        <v>13500</v>
      </c>
      <c r="J53" s="642">
        <f>1600*D53</f>
        <v>9600</v>
      </c>
      <c r="K53" s="642">
        <f t="shared" ref="K53:K58" si="34">G53/D53</f>
        <v>75000</v>
      </c>
    </row>
    <row r="54" spans="1:11" x14ac:dyDescent="0.25">
      <c r="A54" s="22">
        <v>2</v>
      </c>
      <c r="B54" s="26" t="s">
        <v>843</v>
      </c>
      <c r="C54" s="23" t="s">
        <v>28</v>
      </c>
      <c r="D54" s="24">
        <v>3</v>
      </c>
      <c r="E54" s="23">
        <v>10</v>
      </c>
      <c r="F54" s="25">
        <v>3000</v>
      </c>
      <c r="G54" s="25">
        <f t="shared" si="32"/>
        <v>90000</v>
      </c>
      <c r="H54" s="268">
        <f t="shared" ref="H54:H58" si="35">G54/589.84</f>
        <v>152.5837515258375</v>
      </c>
      <c r="I54" s="642">
        <f t="shared" si="33"/>
        <v>2700</v>
      </c>
      <c r="J54" s="642">
        <f>1050*D54</f>
        <v>3150</v>
      </c>
      <c r="K54" s="642">
        <f t="shared" si="34"/>
        <v>30000</v>
      </c>
    </row>
    <row r="55" spans="1:11" x14ac:dyDescent="0.25">
      <c r="A55" s="22">
        <v>3</v>
      </c>
      <c r="B55" s="26" t="s">
        <v>844</v>
      </c>
      <c r="C55" s="23" t="s">
        <v>28</v>
      </c>
      <c r="D55" s="24">
        <v>1</v>
      </c>
      <c r="E55" s="23">
        <v>10</v>
      </c>
      <c r="F55" s="25">
        <v>7500</v>
      </c>
      <c r="G55" s="25">
        <f t="shared" si="32"/>
        <v>75000</v>
      </c>
      <c r="H55" s="268">
        <f t="shared" si="35"/>
        <v>127.15312627153125</v>
      </c>
      <c r="I55" s="642">
        <f t="shared" si="33"/>
        <v>2250</v>
      </c>
      <c r="J55" s="642">
        <f>1600*D55</f>
        <v>1600</v>
      </c>
      <c r="K55" s="642">
        <f t="shared" si="34"/>
        <v>75000</v>
      </c>
    </row>
    <row r="56" spans="1:11" x14ac:dyDescent="0.25">
      <c r="A56" s="22">
        <v>4</v>
      </c>
      <c r="B56" s="26" t="s">
        <v>1365</v>
      </c>
      <c r="C56" s="23" t="s">
        <v>28</v>
      </c>
      <c r="D56" s="24">
        <v>30</v>
      </c>
      <c r="E56" s="23">
        <v>7</v>
      </c>
      <c r="F56" s="25">
        <v>3000</v>
      </c>
      <c r="G56" s="25">
        <f t="shared" si="32"/>
        <v>630000</v>
      </c>
      <c r="H56" s="268">
        <f t="shared" si="35"/>
        <v>1068.0862606808626</v>
      </c>
      <c r="I56" s="642">
        <f t="shared" si="33"/>
        <v>18900</v>
      </c>
      <c r="J56" s="642">
        <f>550*D56</f>
        <v>16500</v>
      </c>
      <c r="K56" s="642">
        <f t="shared" si="34"/>
        <v>21000</v>
      </c>
    </row>
    <row r="57" spans="1:11" x14ac:dyDescent="0.25">
      <c r="A57" s="22">
        <v>5</v>
      </c>
      <c r="B57" s="26" t="s">
        <v>1345</v>
      </c>
      <c r="C57" s="23" t="s">
        <v>28</v>
      </c>
      <c r="D57" s="24">
        <v>1</v>
      </c>
      <c r="E57" s="23">
        <v>10</v>
      </c>
      <c r="F57" s="25">
        <v>8000</v>
      </c>
      <c r="G57" s="25">
        <f t="shared" si="32"/>
        <v>80000</v>
      </c>
      <c r="H57" s="268">
        <f t="shared" ref="H57" si="36">G57/589.84</f>
        <v>135.6300013563</v>
      </c>
      <c r="I57" s="642">
        <f t="shared" si="33"/>
        <v>2400</v>
      </c>
      <c r="J57" s="642">
        <f>1600*D57</f>
        <v>1600</v>
      </c>
      <c r="K57" s="642">
        <f t="shared" si="34"/>
        <v>80000</v>
      </c>
    </row>
    <row r="58" spans="1:11" ht="16.5" thickBot="1" x14ac:dyDescent="0.3">
      <c r="A58" s="22">
        <v>6</v>
      </c>
      <c r="B58" s="26" t="s">
        <v>845</v>
      </c>
      <c r="C58" s="23" t="s">
        <v>28</v>
      </c>
      <c r="D58" s="24">
        <v>1</v>
      </c>
      <c r="E58" s="23">
        <v>10</v>
      </c>
      <c r="F58" s="25">
        <v>8000</v>
      </c>
      <c r="G58" s="25">
        <f t="shared" si="32"/>
        <v>80000</v>
      </c>
      <c r="H58" s="268">
        <f t="shared" si="35"/>
        <v>135.6300013563</v>
      </c>
      <c r="I58" s="642">
        <f>G58*0.03</f>
        <v>2400</v>
      </c>
      <c r="J58" s="642">
        <f>1600*D58</f>
        <v>1600</v>
      </c>
      <c r="K58" s="642">
        <f t="shared" si="34"/>
        <v>80000</v>
      </c>
    </row>
    <row r="59" spans="1:11" ht="18.75" thickBot="1" x14ac:dyDescent="0.3">
      <c r="A59" s="341"/>
      <c r="B59" s="342" t="s">
        <v>1399</v>
      </c>
      <c r="C59" s="343"/>
      <c r="D59" s="343"/>
      <c r="E59" s="343"/>
      <c r="F59" s="344"/>
      <c r="G59" s="344">
        <f>SUM(G53:G58)</f>
        <v>1405000</v>
      </c>
      <c r="H59" s="345">
        <f>SUM(H53:H58)</f>
        <v>2382.0018988200191</v>
      </c>
      <c r="I59" s="692">
        <f>SUM(I53:I58)</f>
        <v>42150</v>
      </c>
      <c r="J59" s="263">
        <f>SUM(J53:J58)</f>
        <v>34050</v>
      </c>
      <c r="K59" s="12"/>
    </row>
    <row r="60" spans="1:11" ht="16.5" thickBot="1" x14ac:dyDescent="0.3">
      <c r="A60" s="22">
        <v>1</v>
      </c>
      <c r="B60" s="26" t="s">
        <v>850</v>
      </c>
      <c r="C60" s="23" t="s">
        <v>28</v>
      </c>
      <c r="D60" s="24">
        <v>28</v>
      </c>
      <c r="E60" s="23">
        <v>10</v>
      </c>
      <c r="F60" s="25">
        <v>7500</v>
      </c>
      <c r="G60" s="25">
        <f t="shared" ref="G60:G65" si="37">D60*E60*F60</f>
        <v>2100000</v>
      </c>
      <c r="H60" s="347">
        <f>G60/589.84</f>
        <v>3560.2875356028753</v>
      </c>
      <c r="I60" s="642">
        <f t="shared" ref="I60:I65" si="38">G60*0.03</f>
        <v>63000</v>
      </c>
      <c r="J60" s="642">
        <f>1600*D60</f>
        <v>44800</v>
      </c>
      <c r="K60" s="642">
        <f t="shared" ref="K60:K65" si="39">G60/D60</f>
        <v>75000</v>
      </c>
    </row>
    <row r="61" spans="1:11" x14ac:dyDescent="0.25">
      <c r="A61" s="22">
        <v>2</v>
      </c>
      <c r="B61" s="26" t="s">
        <v>851</v>
      </c>
      <c r="C61" s="23" t="s">
        <v>28</v>
      </c>
      <c r="D61" s="24">
        <v>14</v>
      </c>
      <c r="E61" s="23">
        <v>10</v>
      </c>
      <c r="F61" s="25">
        <v>3000</v>
      </c>
      <c r="G61" s="25">
        <f t="shared" si="37"/>
        <v>420000</v>
      </c>
      <c r="H61" s="268">
        <f t="shared" ref="H61:H65" si="40">G61/589.84</f>
        <v>712.057507120575</v>
      </c>
      <c r="I61" s="642">
        <f t="shared" si="38"/>
        <v>12600</v>
      </c>
      <c r="J61" s="642">
        <f>1050*D61</f>
        <v>14700</v>
      </c>
      <c r="K61" s="642">
        <f t="shared" si="39"/>
        <v>30000</v>
      </c>
    </row>
    <row r="62" spans="1:11" x14ac:dyDescent="0.25">
      <c r="A62" s="22">
        <v>3</v>
      </c>
      <c r="B62" s="26" t="s">
        <v>852</v>
      </c>
      <c r="C62" s="23" t="s">
        <v>28</v>
      </c>
      <c r="D62" s="24">
        <v>1</v>
      </c>
      <c r="E62" s="23">
        <v>10</v>
      </c>
      <c r="F62" s="25">
        <v>7500</v>
      </c>
      <c r="G62" s="25">
        <f t="shared" si="37"/>
        <v>75000</v>
      </c>
      <c r="H62" s="268">
        <f t="shared" si="40"/>
        <v>127.15312627153125</v>
      </c>
      <c r="I62" s="642">
        <f t="shared" si="38"/>
        <v>2250</v>
      </c>
      <c r="J62" s="642">
        <f>1600*D62</f>
        <v>1600</v>
      </c>
      <c r="K62" s="642">
        <f t="shared" si="39"/>
        <v>75000</v>
      </c>
    </row>
    <row r="63" spans="1:11" x14ac:dyDescent="0.25">
      <c r="A63" s="22">
        <v>4</v>
      </c>
      <c r="B63" s="26" t="s">
        <v>1365</v>
      </c>
      <c r="C63" s="23" t="s">
        <v>28</v>
      </c>
      <c r="D63" s="24">
        <v>47</v>
      </c>
      <c r="E63" s="23">
        <v>7</v>
      </c>
      <c r="F63" s="25">
        <v>3000</v>
      </c>
      <c r="G63" s="25">
        <f t="shared" si="37"/>
        <v>987000</v>
      </c>
      <c r="H63" s="268">
        <f t="shared" si="40"/>
        <v>1673.3351417333513</v>
      </c>
      <c r="I63" s="642">
        <f t="shared" si="38"/>
        <v>29610</v>
      </c>
      <c r="J63" s="642">
        <f>550*D63</f>
        <v>25850</v>
      </c>
      <c r="K63" s="642">
        <f t="shared" si="39"/>
        <v>21000</v>
      </c>
    </row>
    <row r="64" spans="1:11" x14ac:dyDescent="0.25">
      <c r="A64" s="22">
        <v>5</v>
      </c>
      <c r="B64" s="26" t="s">
        <v>1345</v>
      </c>
      <c r="C64" s="23" t="s">
        <v>28</v>
      </c>
      <c r="D64" s="24">
        <v>1</v>
      </c>
      <c r="E64" s="23">
        <v>10</v>
      </c>
      <c r="F64" s="25">
        <v>8000</v>
      </c>
      <c r="G64" s="25">
        <f t="shared" si="37"/>
        <v>80000</v>
      </c>
      <c r="H64" s="268">
        <f t="shared" ref="H64" si="41">G64/589.84</f>
        <v>135.6300013563</v>
      </c>
      <c r="I64" s="642">
        <f t="shared" si="38"/>
        <v>2400</v>
      </c>
      <c r="J64" s="642">
        <f>1600*D64</f>
        <v>1600</v>
      </c>
      <c r="K64" s="642">
        <f t="shared" si="39"/>
        <v>80000</v>
      </c>
    </row>
    <row r="65" spans="1:11" ht="16.5" thickBot="1" x14ac:dyDescent="0.3">
      <c r="A65" s="22">
        <v>6</v>
      </c>
      <c r="B65" s="26" t="s">
        <v>853</v>
      </c>
      <c r="C65" s="23" t="s">
        <v>28</v>
      </c>
      <c r="D65" s="24">
        <v>3</v>
      </c>
      <c r="E65" s="23">
        <v>10</v>
      </c>
      <c r="F65" s="25">
        <v>8000</v>
      </c>
      <c r="G65" s="25">
        <f t="shared" si="37"/>
        <v>240000</v>
      </c>
      <c r="H65" s="268">
        <f t="shared" si="40"/>
        <v>406.8900040689</v>
      </c>
      <c r="I65" s="642">
        <f t="shared" si="38"/>
        <v>7200</v>
      </c>
      <c r="J65" s="642">
        <f>1600*D65</f>
        <v>4800</v>
      </c>
      <c r="K65" s="642">
        <f t="shared" si="39"/>
        <v>80000</v>
      </c>
    </row>
    <row r="66" spans="1:11" ht="18.75" thickBot="1" x14ac:dyDescent="0.3">
      <c r="A66" s="341"/>
      <c r="B66" s="342" t="s">
        <v>1399</v>
      </c>
      <c r="C66" s="343"/>
      <c r="D66" s="343"/>
      <c r="E66" s="343"/>
      <c r="F66" s="344"/>
      <c r="G66" s="344">
        <f>SUM(G60:G65)</f>
        <v>3902000</v>
      </c>
      <c r="H66" s="345">
        <f>SUM(H60:H65)</f>
        <v>6615.3533161535343</v>
      </c>
      <c r="I66" s="263">
        <f>SUM(I60:I65)</f>
        <v>117060</v>
      </c>
      <c r="J66" s="263">
        <f>SUM(J60:J65)</f>
        <v>93350</v>
      </c>
      <c r="K66" s="12"/>
    </row>
    <row r="67" spans="1:11" ht="16.5" thickBot="1" x14ac:dyDescent="0.3">
      <c r="A67" s="22">
        <v>1</v>
      </c>
      <c r="B67" s="26" t="s">
        <v>854</v>
      </c>
      <c r="C67" s="23" t="s">
        <v>28</v>
      </c>
      <c r="D67" s="24">
        <v>16</v>
      </c>
      <c r="E67" s="23">
        <v>10</v>
      </c>
      <c r="F67" s="25">
        <v>7500</v>
      </c>
      <c r="G67" s="25">
        <f t="shared" ref="G67:G72" si="42">D67*E67*F67</f>
        <v>1200000</v>
      </c>
      <c r="H67" s="347">
        <f>G67/589.84</f>
        <v>2034.4500203445</v>
      </c>
      <c r="I67" s="642">
        <f t="shared" ref="I67:I72" si="43">G67*0.03</f>
        <v>36000</v>
      </c>
      <c r="J67" s="642">
        <f>1600*D67</f>
        <v>25600</v>
      </c>
      <c r="K67" s="642">
        <f t="shared" ref="K67:K72" si="44">G67/D67</f>
        <v>75000</v>
      </c>
    </row>
    <row r="68" spans="1:11" x14ac:dyDescent="0.25">
      <c r="A68" s="22">
        <v>2</v>
      </c>
      <c r="B68" s="26" t="s">
        <v>855</v>
      </c>
      <c r="C68" s="23" t="s">
        <v>28</v>
      </c>
      <c r="D68" s="24">
        <v>8</v>
      </c>
      <c r="E68" s="23">
        <v>10</v>
      </c>
      <c r="F68" s="25">
        <v>3000</v>
      </c>
      <c r="G68" s="25">
        <f t="shared" si="42"/>
        <v>240000</v>
      </c>
      <c r="H68" s="268">
        <f t="shared" ref="H68:H72" si="45">G68/589.84</f>
        <v>406.8900040689</v>
      </c>
      <c r="I68" s="642">
        <f t="shared" si="43"/>
        <v>7200</v>
      </c>
      <c r="J68" s="642">
        <f>1050*D68</f>
        <v>8400</v>
      </c>
      <c r="K68" s="642">
        <f t="shared" si="44"/>
        <v>30000</v>
      </c>
    </row>
    <row r="69" spans="1:11" x14ac:dyDescent="0.25">
      <c r="A69" s="22">
        <v>3</v>
      </c>
      <c r="B69" s="26" t="s">
        <v>856</v>
      </c>
      <c r="C69" s="23" t="s">
        <v>28</v>
      </c>
      <c r="D69" s="24">
        <v>1</v>
      </c>
      <c r="E69" s="23">
        <v>10</v>
      </c>
      <c r="F69" s="25">
        <v>7500</v>
      </c>
      <c r="G69" s="25">
        <f t="shared" si="42"/>
        <v>75000</v>
      </c>
      <c r="H69" s="268">
        <f t="shared" si="45"/>
        <v>127.15312627153125</v>
      </c>
      <c r="I69" s="642">
        <f t="shared" si="43"/>
        <v>2250</v>
      </c>
      <c r="J69" s="642">
        <f>1600*D69</f>
        <v>1600</v>
      </c>
      <c r="K69" s="642">
        <f t="shared" si="44"/>
        <v>75000</v>
      </c>
    </row>
    <row r="70" spans="1:11" x14ac:dyDescent="0.25">
      <c r="A70" s="22">
        <v>4</v>
      </c>
      <c r="B70" s="26" t="s">
        <v>1365</v>
      </c>
      <c r="C70" s="23" t="s">
        <v>28</v>
      </c>
      <c r="D70" s="24">
        <v>34</v>
      </c>
      <c r="E70" s="23">
        <v>7</v>
      </c>
      <c r="F70" s="25">
        <v>3000</v>
      </c>
      <c r="G70" s="25">
        <f t="shared" si="42"/>
        <v>714000</v>
      </c>
      <c r="H70" s="268">
        <f t="shared" si="45"/>
        <v>1210.4977621049775</v>
      </c>
      <c r="I70" s="642">
        <f t="shared" si="43"/>
        <v>21420</v>
      </c>
      <c r="J70" s="642">
        <f>550*D70</f>
        <v>18700</v>
      </c>
      <c r="K70" s="642">
        <f t="shared" si="44"/>
        <v>21000</v>
      </c>
    </row>
    <row r="71" spans="1:11" x14ac:dyDescent="0.25">
      <c r="A71" s="22">
        <v>5</v>
      </c>
      <c r="B71" s="26" t="s">
        <v>1345</v>
      </c>
      <c r="C71" s="23" t="s">
        <v>28</v>
      </c>
      <c r="D71" s="24">
        <v>1</v>
      </c>
      <c r="E71" s="23">
        <v>10</v>
      </c>
      <c r="F71" s="25">
        <v>8000</v>
      </c>
      <c r="G71" s="25">
        <f t="shared" si="42"/>
        <v>80000</v>
      </c>
      <c r="H71" s="268">
        <f t="shared" ref="H71" si="46">G71/589.84</f>
        <v>135.6300013563</v>
      </c>
      <c r="I71" s="642">
        <f t="shared" si="43"/>
        <v>2400</v>
      </c>
      <c r="J71" s="642">
        <f>1600*D71</f>
        <v>1600</v>
      </c>
      <c r="K71" s="642">
        <f t="shared" si="44"/>
        <v>80000</v>
      </c>
    </row>
    <row r="72" spans="1:11" ht="16.5" thickBot="1" x14ac:dyDescent="0.3">
      <c r="A72" s="22">
        <v>6</v>
      </c>
      <c r="B72" s="26" t="s">
        <v>857</v>
      </c>
      <c r="C72" s="23" t="s">
        <v>28</v>
      </c>
      <c r="D72" s="24">
        <v>2</v>
      </c>
      <c r="E72" s="23">
        <v>10</v>
      </c>
      <c r="F72" s="25">
        <v>8000</v>
      </c>
      <c r="G72" s="25">
        <f t="shared" si="42"/>
        <v>160000</v>
      </c>
      <c r="H72" s="268">
        <f t="shared" si="45"/>
        <v>271.2600027126</v>
      </c>
      <c r="I72" s="642">
        <f t="shared" si="43"/>
        <v>4800</v>
      </c>
      <c r="J72" s="642">
        <f>1600*D72</f>
        <v>3200</v>
      </c>
      <c r="K72" s="642">
        <f t="shared" si="44"/>
        <v>80000</v>
      </c>
    </row>
    <row r="73" spans="1:11" ht="18.75" thickBot="1" x14ac:dyDescent="0.3">
      <c r="A73" s="341"/>
      <c r="B73" s="342" t="s">
        <v>1399</v>
      </c>
      <c r="C73" s="343"/>
      <c r="D73" s="343"/>
      <c r="E73" s="343"/>
      <c r="F73" s="344"/>
      <c r="G73" s="344">
        <f>SUM(G67:G72)</f>
        <v>2469000</v>
      </c>
      <c r="H73" s="345">
        <f>SUM(H67:H72)</f>
        <v>4185.8809168588086</v>
      </c>
      <c r="I73" s="263">
        <f>SUM(I67:I72)</f>
        <v>74070</v>
      </c>
      <c r="J73" s="263">
        <f>SUM(J67:J72)</f>
        <v>59100</v>
      </c>
      <c r="K73" s="12"/>
    </row>
    <row r="74" spans="1:11" ht="16.5" thickBot="1" x14ac:dyDescent="0.3">
      <c r="A74" s="22">
        <v>1</v>
      </c>
      <c r="B74" s="26" t="s">
        <v>858</v>
      </c>
      <c r="C74" s="23" t="s">
        <v>28</v>
      </c>
      <c r="D74" s="24">
        <v>4</v>
      </c>
      <c r="E74" s="23">
        <v>10</v>
      </c>
      <c r="F74" s="25">
        <v>7500</v>
      </c>
      <c r="G74" s="25">
        <f t="shared" ref="G74:G79" si="47">D74*E74*F74</f>
        <v>300000</v>
      </c>
      <c r="H74" s="347">
        <f>G74/589.84</f>
        <v>508.612505086125</v>
      </c>
      <c r="I74" s="642">
        <f t="shared" ref="I74:I79" si="48">G74*0.03</f>
        <v>9000</v>
      </c>
      <c r="J74" s="642">
        <f>1600*D74</f>
        <v>6400</v>
      </c>
      <c r="K74" s="642">
        <f t="shared" ref="K74:K79" si="49">G74/D74</f>
        <v>75000</v>
      </c>
    </row>
    <row r="75" spans="1:11" x14ac:dyDescent="0.25">
      <c r="A75" s="22">
        <v>2</v>
      </c>
      <c r="B75" s="26" t="s">
        <v>859</v>
      </c>
      <c r="C75" s="23" t="s">
        <v>28</v>
      </c>
      <c r="D75" s="24">
        <v>2</v>
      </c>
      <c r="E75" s="23">
        <v>10</v>
      </c>
      <c r="F75" s="25">
        <v>3000</v>
      </c>
      <c r="G75" s="25">
        <f t="shared" si="47"/>
        <v>60000</v>
      </c>
      <c r="H75" s="268">
        <f t="shared" ref="H75:H79" si="50">G75/589.84</f>
        <v>101.722501017225</v>
      </c>
      <c r="I75" s="642">
        <f t="shared" si="48"/>
        <v>1800</v>
      </c>
      <c r="J75" s="642">
        <f>1050*D75</f>
        <v>2100</v>
      </c>
      <c r="K75" s="642">
        <f t="shared" si="49"/>
        <v>30000</v>
      </c>
    </row>
    <row r="76" spans="1:11" x14ac:dyDescent="0.25">
      <c r="A76" s="22">
        <v>3</v>
      </c>
      <c r="B76" s="26" t="s">
        <v>860</v>
      </c>
      <c r="C76" s="23" t="s">
        <v>28</v>
      </c>
      <c r="D76" s="24">
        <v>1</v>
      </c>
      <c r="E76" s="23">
        <v>10</v>
      </c>
      <c r="F76" s="25">
        <v>7500</v>
      </c>
      <c r="G76" s="25">
        <f t="shared" si="47"/>
        <v>75000</v>
      </c>
      <c r="H76" s="268">
        <f t="shared" si="50"/>
        <v>127.15312627153125</v>
      </c>
      <c r="I76" s="642">
        <f t="shared" si="48"/>
        <v>2250</v>
      </c>
      <c r="J76" s="642">
        <f>1600*D76</f>
        <v>1600</v>
      </c>
      <c r="K76" s="642">
        <f t="shared" si="49"/>
        <v>75000</v>
      </c>
    </row>
    <row r="77" spans="1:11" x14ac:dyDescent="0.25">
      <c r="A77" s="22">
        <v>4</v>
      </c>
      <c r="B77" s="26" t="s">
        <v>1365</v>
      </c>
      <c r="C77" s="23" t="s">
        <v>28</v>
      </c>
      <c r="D77" s="24">
        <v>14</v>
      </c>
      <c r="E77" s="23">
        <v>7</v>
      </c>
      <c r="F77" s="25">
        <v>3000</v>
      </c>
      <c r="G77" s="25">
        <f t="shared" si="47"/>
        <v>294000</v>
      </c>
      <c r="H77" s="268">
        <f t="shared" si="50"/>
        <v>498.44025498440254</v>
      </c>
      <c r="I77" s="642">
        <f t="shared" si="48"/>
        <v>8820</v>
      </c>
      <c r="J77" s="642">
        <f>550*D77</f>
        <v>7700</v>
      </c>
      <c r="K77" s="642">
        <f t="shared" si="49"/>
        <v>21000</v>
      </c>
    </row>
    <row r="78" spans="1:11" x14ac:dyDescent="0.25">
      <c r="A78" s="22">
        <v>5</v>
      </c>
      <c r="B78" s="26" t="s">
        <v>1345</v>
      </c>
      <c r="C78" s="23" t="s">
        <v>28</v>
      </c>
      <c r="D78" s="24">
        <v>1</v>
      </c>
      <c r="E78" s="23">
        <v>10</v>
      </c>
      <c r="F78" s="25">
        <v>8000</v>
      </c>
      <c r="G78" s="25">
        <f t="shared" si="47"/>
        <v>80000</v>
      </c>
      <c r="H78" s="268">
        <f t="shared" ref="H78" si="51">G78/589.84</f>
        <v>135.6300013563</v>
      </c>
      <c r="I78" s="642">
        <f t="shared" si="48"/>
        <v>2400</v>
      </c>
      <c r="J78" s="642">
        <f>1600*D78</f>
        <v>1600</v>
      </c>
      <c r="K78" s="642">
        <f t="shared" si="49"/>
        <v>80000</v>
      </c>
    </row>
    <row r="79" spans="1:11" ht="16.5" thickBot="1" x14ac:dyDescent="0.3">
      <c r="A79" s="22">
        <v>6</v>
      </c>
      <c r="B79" s="26" t="s">
        <v>861</v>
      </c>
      <c r="C79" s="23" t="s">
        <v>28</v>
      </c>
      <c r="D79" s="33">
        <v>1</v>
      </c>
      <c r="E79" s="23">
        <v>10</v>
      </c>
      <c r="F79" s="25">
        <v>8000</v>
      </c>
      <c r="G79" s="25">
        <f t="shared" si="47"/>
        <v>80000</v>
      </c>
      <c r="H79" s="268">
        <f t="shared" si="50"/>
        <v>135.6300013563</v>
      </c>
      <c r="I79" s="642">
        <f t="shared" si="48"/>
        <v>2400</v>
      </c>
      <c r="J79" s="642">
        <f>1600*D79</f>
        <v>1600</v>
      </c>
      <c r="K79" s="642">
        <f t="shared" si="49"/>
        <v>80000</v>
      </c>
    </row>
    <row r="80" spans="1:11" ht="18.75" thickBot="1" x14ac:dyDescent="0.3">
      <c r="A80" s="341"/>
      <c r="B80" s="342" t="s">
        <v>1399</v>
      </c>
      <c r="C80" s="343"/>
      <c r="D80" s="343"/>
      <c r="E80" s="343"/>
      <c r="F80" s="344"/>
      <c r="G80" s="344">
        <f>SUM(G74:G79)</f>
        <v>889000</v>
      </c>
      <c r="H80" s="345">
        <f>SUM(H74:H79)</f>
        <v>1507.1883900718838</v>
      </c>
      <c r="I80" s="263">
        <f>SUM(I74:I79)</f>
        <v>26670</v>
      </c>
      <c r="J80" s="263">
        <f>SUM(J74:J79)</f>
        <v>21000</v>
      </c>
      <c r="K80" s="12"/>
    </row>
    <row r="81" spans="1:11" ht="18.75" thickBot="1" x14ac:dyDescent="0.3">
      <c r="A81" s="242" t="s">
        <v>521</v>
      </c>
      <c r="B81" s="243"/>
      <c r="C81" s="242"/>
      <c r="D81" s="242"/>
      <c r="E81" s="242"/>
      <c r="F81" s="244"/>
      <c r="G81" s="244"/>
      <c r="H81" s="340"/>
      <c r="I81" s="12"/>
      <c r="J81" s="12"/>
      <c r="K81" s="12"/>
    </row>
    <row r="82" spans="1:11" ht="16.5" thickBot="1" x14ac:dyDescent="0.3">
      <c r="A82" s="188">
        <v>1</v>
      </c>
      <c r="B82" s="189" t="s">
        <v>742</v>
      </c>
      <c r="C82" s="225" t="s">
        <v>28</v>
      </c>
      <c r="D82" s="495">
        <v>2</v>
      </c>
      <c r="E82" s="229">
        <v>12</v>
      </c>
      <c r="F82" s="227">
        <v>12500</v>
      </c>
      <c r="G82" s="227">
        <f t="shared" ref="G82:G90" si="52">D82*E82*F82</f>
        <v>300000</v>
      </c>
      <c r="H82" s="347">
        <f t="shared" ref="H82:H84" si="53">G82/589.84</f>
        <v>508.612505086125</v>
      </c>
      <c r="I82" s="642">
        <f>G82*0.03</f>
        <v>9000</v>
      </c>
      <c r="J82" s="642">
        <f>1900*D82</f>
        <v>3800</v>
      </c>
      <c r="K82" s="642">
        <f>G82/D82</f>
        <v>150000</v>
      </c>
    </row>
    <row r="83" spans="1:11" ht="16.5" thickBot="1" x14ac:dyDescent="0.3">
      <c r="A83" s="188">
        <v>2</v>
      </c>
      <c r="B83" s="189" t="s">
        <v>743</v>
      </c>
      <c r="C83" s="225" t="s">
        <v>28</v>
      </c>
      <c r="D83" s="495">
        <v>1</v>
      </c>
      <c r="E83" s="229">
        <v>10</v>
      </c>
      <c r="F83" s="25">
        <v>10000</v>
      </c>
      <c r="G83" s="227">
        <f t="shared" si="52"/>
        <v>100000</v>
      </c>
      <c r="H83" s="347">
        <f t="shared" si="53"/>
        <v>169.537501695375</v>
      </c>
      <c r="I83" s="642">
        <f t="shared" ref="I83:I90" si="54">G83*0.03</f>
        <v>3000</v>
      </c>
      <c r="J83" s="642">
        <f>1600*D83</f>
        <v>1600</v>
      </c>
      <c r="K83" s="642">
        <f t="shared" ref="K83:K90" si="55">G83/D83</f>
        <v>100000</v>
      </c>
    </row>
    <row r="84" spans="1:11" x14ac:dyDescent="0.25">
      <c r="A84" s="188">
        <v>3</v>
      </c>
      <c r="B84" s="189" t="s">
        <v>744</v>
      </c>
      <c r="C84" s="225" t="s">
        <v>28</v>
      </c>
      <c r="D84" s="495">
        <v>2</v>
      </c>
      <c r="E84" s="229">
        <v>13</v>
      </c>
      <c r="F84" s="25">
        <v>10000</v>
      </c>
      <c r="G84" s="227">
        <f t="shared" si="52"/>
        <v>260000</v>
      </c>
      <c r="H84" s="268">
        <f t="shared" si="53"/>
        <v>440.797504407975</v>
      </c>
      <c r="I84" s="642">
        <f t="shared" si="54"/>
        <v>7800</v>
      </c>
      <c r="J84" s="642">
        <f>1900*D84</f>
        <v>3800</v>
      </c>
      <c r="K84" s="642">
        <f t="shared" si="55"/>
        <v>130000</v>
      </c>
    </row>
    <row r="85" spans="1:11" x14ac:dyDescent="0.25">
      <c r="A85" s="188">
        <v>4</v>
      </c>
      <c r="B85" s="189" t="s">
        <v>745</v>
      </c>
      <c r="C85" s="225" t="s">
        <v>28</v>
      </c>
      <c r="D85" s="495">
        <v>1</v>
      </c>
      <c r="E85" s="229">
        <v>13</v>
      </c>
      <c r="F85" s="25">
        <v>10000</v>
      </c>
      <c r="G85" s="227">
        <f t="shared" si="52"/>
        <v>130000</v>
      </c>
      <c r="H85" s="268">
        <f>SUM(H81:H84)</f>
        <v>1118.9475111894749</v>
      </c>
      <c r="I85" s="642">
        <f t="shared" si="54"/>
        <v>3900</v>
      </c>
      <c r="J85" s="642">
        <f>1600*D85</f>
        <v>1600</v>
      </c>
      <c r="K85" s="642">
        <f t="shared" si="55"/>
        <v>130000</v>
      </c>
    </row>
    <row r="86" spans="1:11" ht="16.5" thickBot="1" x14ac:dyDescent="0.3">
      <c r="A86" s="188">
        <v>5</v>
      </c>
      <c r="B86" s="189" t="s">
        <v>746</v>
      </c>
      <c r="C86" s="225" t="s">
        <v>28</v>
      </c>
      <c r="D86" s="495">
        <v>1</v>
      </c>
      <c r="E86" s="229">
        <v>10</v>
      </c>
      <c r="F86" s="25">
        <v>10000</v>
      </c>
      <c r="G86" s="227">
        <f t="shared" si="52"/>
        <v>100000</v>
      </c>
      <c r="H86" s="268">
        <f>G86/589.84</f>
        <v>169.537501695375</v>
      </c>
      <c r="I86" s="642">
        <f t="shared" si="54"/>
        <v>3000</v>
      </c>
      <c r="J86" s="642">
        <f>1600*D86</f>
        <v>1600</v>
      </c>
      <c r="K86" s="642">
        <f t="shared" si="55"/>
        <v>100000</v>
      </c>
    </row>
    <row r="87" spans="1:11" ht="16.5" thickBot="1" x14ac:dyDescent="0.3">
      <c r="A87" s="188">
        <v>6</v>
      </c>
      <c r="B87" s="189" t="s">
        <v>747</v>
      </c>
      <c r="C87" s="225" t="s">
        <v>28</v>
      </c>
      <c r="D87" s="495">
        <v>1</v>
      </c>
      <c r="E87" s="229">
        <v>10</v>
      </c>
      <c r="F87" s="25">
        <v>10000</v>
      </c>
      <c r="G87" s="227">
        <f t="shared" si="52"/>
        <v>100000</v>
      </c>
      <c r="H87" s="347">
        <f>G87/589.84</f>
        <v>169.537501695375</v>
      </c>
      <c r="I87" s="642">
        <f t="shared" si="54"/>
        <v>3000</v>
      </c>
      <c r="J87" s="642">
        <f>1600*D87</f>
        <v>1600</v>
      </c>
      <c r="K87" s="642">
        <f t="shared" si="55"/>
        <v>100000</v>
      </c>
    </row>
    <row r="88" spans="1:11" x14ac:dyDescent="0.25">
      <c r="A88" s="188">
        <v>7</v>
      </c>
      <c r="B88" s="189" t="s">
        <v>748</v>
      </c>
      <c r="C88" s="225" t="s">
        <v>28</v>
      </c>
      <c r="D88" s="495">
        <v>3</v>
      </c>
      <c r="E88" s="229">
        <v>10</v>
      </c>
      <c r="F88" s="25">
        <v>10000</v>
      </c>
      <c r="G88" s="227">
        <f t="shared" si="52"/>
        <v>300000</v>
      </c>
      <c r="H88" s="268">
        <f>G88/589.84</f>
        <v>508.612505086125</v>
      </c>
      <c r="I88" s="642">
        <f t="shared" si="54"/>
        <v>9000</v>
      </c>
      <c r="J88" s="642">
        <f>1600*D88</f>
        <v>4800</v>
      </c>
      <c r="K88" s="642">
        <f t="shared" si="55"/>
        <v>100000</v>
      </c>
    </row>
    <row r="89" spans="1:11" x14ac:dyDescent="0.25">
      <c r="A89" s="188">
        <v>8</v>
      </c>
      <c r="B89" s="189" t="s">
        <v>749</v>
      </c>
      <c r="C89" s="225" t="s">
        <v>28</v>
      </c>
      <c r="D89" s="495">
        <f>3-1-1</f>
        <v>1</v>
      </c>
      <c r="E89" s="229">
        <v>10</v>
      </c>
      <c r="F89" s="25">
        <v>10000</v>
      </c>
      <c r="G89" s="227">
        <f t="shared" si="52"/>
        <v>100000</v>
      </c>
      <c r="H89" s="268">
        <f>G89/589.84</f>
        <v>169.537501695375</v>
      </c>
      <c r="I89" s="642">
        <f t="shared" si="54"/>
        <v>3000</v>
      </c>
      <c r="J89" s="642">
        <f>1600*D89</f>
        <v>1600</v>
      </c>
      <c r="K89" s="642">
        <f t="shared" si="55"/>
        <v>100000</v>
      </c>
    </row>
    <row r="90" spans="1:11" ht="16.5" thickBot="1" x14ac:dyDescent="0.3">
      <c r="A90" s="188">
        <v>9</v>
      </c>
      <c r="B90" s="189" t="s">
        <v>750</v>
      </c>
      <c r="C90" s="225" t="s">
        <v>28</v>
      </c>
      <c r="D90" s="495">
        <v>1</v>
      </c>
      <c r="E90" s="229">
        <v>10</v>
      </c>
      <c r="F90" s="227">
        <v>5000</v>
      </c>
      <c r="G90" s="227">
        <f t="shared" si="52"/>
        <v>50000</v>
      </c>
      <c r="H90" s="268">
        <f>G90/589.84</f>
        <v>84.7687508476875</v>
      </c>
      <c r="I90" s="642">
        <f t="shared" si="54"/>
        <v>1500</v>
      </c>
      <c r="J90" s="642">
        <f>1050*D90</f>
        <v>1050</v>
      </c>
      <c r="K90" s="642">
        <f t="shared" si="55"/>
        <v>50000</v>
      </c>
    </row>
    <row r="91" spans="1:11" ht="18.75" thickBot="1" x14ac:dyDescent="0.3">
      <c r="A91" s="242" t="s">
        <v>522</v>
      </c>
      <c r="B91" s="243"/>
      <c r="C91" s="242"/>
      <c r="D91" s="242"/>
      <c r="E91" s="242"/>
      <c r="F91" s="244"/>
      <c r="G91" s="244">
        <f>SUM(G82:G90)</f>
        <v>1440000</v>
      </c>
      <c r="H91" s="340">
        <f>SUM(H82:H90)</f>
        <v>3339.888783398887</v>
      </c>
      <c r="I91" s="263">
        <f>SUM(I82:I90)</f>
        <v>43200</v>
      </c>
      <c r="J91" s="263">
        <f>SUM(J82:J90)</f>
        <v>21450</v>
      </c>
      <c r="K91" s="501"/>
    </row>
    <row r="92" spans="1:11" ht="34.15" customHeight="1" thickBot="1" x14ac:dyDescent="0.3">
      <c r="A92" s="780" t="s">
        <v>526</v>
      </c>
      <c r="B92" s="781"/>
      <c r="C92" s="781"/>
      <c r="D92" s="781"/>
      <c r="E92" s="783"/>
      <c r="F92" s="348"/>
      <c r="G92" s="349"/>
      <c r="H92" s="350"/>
    </row>
    <row r="93" spans="1:11" ht="18.75" thickBot="1" x14ac:dyDescent="0.3">
      <c r="A93" s="233"/>
      <c r="B93" s="234" t="s">
        <v>524</v>
      </c>
      <c r="C93" s="234"/>
      <c r="D93" s="234"/>
      <c r="E93" s="234"/>
      <c r="F93" s="234"/>
      <c r="G93" s="234"/>
      <c r="H93" s="347"/>
    </row>
    <row r="94" spans="1:11" ht="16.5" thickBot="1" x14ac:dyDescent="0.3">
      <c r="A94" s="22">
        <v>1</v>
      </c>
      <c r="B94" s="26" t="s">
        <v>1293</v>
      </c>
      <c r="C94" s="23" t="s">
        <v>83</v>
      </c>
      <c r="D94" s="19">
        <f>(152-21)-10</f>
        <v>121</v>
      </c>
      <c r="E94" s="23">
        <v>10</v>
      </c>
      <c r="F94" s="25">
        <v>10000</v>
      </c>
      <c r="G94" s="227">
        <f t="shared" ref="G94:G112" si="56">D94*E94*F94</f>
        <v>12100000</v>
      </c>
      <c r="H94" s="347">
        <f t="shared" ref="H94:H112" si="57">G94/589.84</f>
        <v>20514.037705140378</v>
      </c>
      <c r="I94" s="642">
        <f>G94*0.03</f>
        <v>363000</v>
      </c>
      <c r="J94" s="642">
        <f>1600*D94</f>
        <v>193600</v>
      </c>
      <c r="K94" s="642">
        <f>G94/D94</f>
        <v>100000</v>
      </c>
    </row>
    <row r="95" spans="1:11" ht="16.5" thickBot="1" x14ac:dyDescent="0.3">
      <c r="A95" s="22">
        <v>2</v>
      </c>
      <c r="B95" s="26" t="s">
        <v>1294</v>
      </c>
      <c r="C95" s="23" t="s">
        <v>30</v>
      </c>
      <c r="D95" s="19">
        <f>152*3*10</f>
        <v>4560</v>
      </c>
      <c r="E95" s="23">
        <v>1</v>
      </c>
      <c r="F95" s="25">
        <v>850</v>
      </c>
      <c r="G95" s="227">
        <f t="shared" si="56"/>
        <v>3876000</v>
      </c>
      <c r="H95" s="347">
        <f t="shared" si="57"/>
        <v>6571.273565712735</v>
      </c>
      <c r="I95" s="501"/>
      <c r="J95" s="501"/>
      <c r="K95" s="501"/>
    </row>
    <row r="96" spans="1:11" ht="16.5" thickBot="1" x14ac:dyDescent="0.3">
      <c r="A96" s="22">
        <v>3</v>
      </c>
      <c r="B96" s="26" t="s">
        <v>1295</v>
      </c>
      <c r="C96" s="23" t="s">
        <v>83</v>
      </c>
      <c r="D96" s="19">
        <f>+D16+D23+D30+D37+D44+D51+D58+D65+D72+D79</f>
        <v>20</v>
      </c>
      <c r="E96" s="23">
        <v>10</v>
      </c>
      <c r="F96" s="25">
        <v>10000</v>
      </c>
      <c r="G96" s="227">
        <f t="shared" si="56"/>
        <v>2000000</v>
      </c>
      <c r="H96" s="347">
        <f t="shared" si="57"/>
        <v>3390.7500339075</v>
      </c>
      <c r="I96" s="642">
        <f>G96*0.03</f>
        <v>60000</v>
      </c>
      <c r="J96" s="642">
        <f>1600*D96</f>
        <v>32000</v>
      </c>
      <c r="K96" s="642">
        <f>G96/D96</f>
        <v>100000</v>
      </c>
    </row>
    <row r="97" spans="1:11" ht="16.5" thickBot="1" x14ac:dyDescent="0.3">
      <c r="A97" s="22">
        <v>4</v>
      </c>
      <c r="B97" s="26" t="s">
        <v>1296</v>
      </c>
      <c r="C97" s="23" t="s">
        <v>30</v>
      </c>
      <c r="D97" s="19">
        <f>D96*3*10</f>
        <v>600</v>
      </c>
      <c r="E97" s="23">
        <v>1</v>
      </c>
      <c r="F97" s="25">
        <v>850</v>
      </c>
      <c r="G97" s="227">
        <f t="shared" si="56"/>
        <v>510000</v>
      </c>
      <c r="H97" s="347">
        <f t="shared" si="57"/>
        <v>864.64125864641255</v>
      </c>
      <c r="I97" s="501"/>
      <c r="J97" s="501"/>
      <c r="K97" s="501"/>
    </row>
    <row r="98" spans="1:11" ht="16.5" thickBot="1" x14ac:dyDescent="0.3">
      <c r="A98" s="22">
        <v>5</v>
      </c>
      <c r="B98" s="26" t="s">
        <v>1297</v>
      </c>
      <c r="C98" s="23" t="s">
        <v>84</v>
      </c>
      <c r="D98" s="19">
        <v>3</v>
      </c>
      <c r="E98" s="23">
        <v>0</v>
      </c>
      <c r="F98" s="25">
        <v>75000</v>
      </c>
      <c r="G98" s="227">
        <f t="shared" si="56"/>
        <v>0</v>
      </c>
      <c r="H98" s="347">
        <f t="shared" si="57"/>
        <v>0</v>
      </c>
      <c r="I98" s="501"/>
      <c r="J98" s="501"/>
      <c r="K98" s="501"/>
    </row>
    <row r="99" spans="1:11" ht="16.5" thickBot="1" x14ac:dyDescent="0.3">
      <c r="A99" s="22">
        <v>6</v>
      </c>
      <c r="B99" s="26" t="s">
        <v>1298</v>
      </c>
      <c r="C99" s="23" t="s">
        <v>29</v>
      </c>
      <c r="D99" s="19">
        <f>D98*100*0.2*10</f>
        <v>600</v>
      </c>
      <c r="E99" s="23">
        <v>1</v>
      </c>
      <c r="F99" s="25">
        <v>800</v>
      </c>
      <c r="G99" s="227">
        <f t="shared" si="56"/>
        <v>480000</v>
      </c>
      <c r="H99" s="347">
        <f t="shared" si="57"/>
        <v>813.7800081378</v>
      </c>
      <c r="I99" s="501"/>
      <c r="J99" s="501"/>
      <c r="K99" s="501"/>
    </row>
    <row r="100" spans="1:11" ht="16.5" thickBot="1" x14ac:dyDescent="0.3">
      <c r="A100" s="22">
        <v>7</v>
      </c>
      <c r="B100" s="26" t="s">
        <v>1448</v>
      </c>
      <c r="C100" s="23" t="s">
        <v>90</v>
      </c>
      <c r="D100" s="19">
        <f>50*0.2*1*10</f>
        <v>100</v>
      </c>
      <c r="E100" s="23">
        <v>1</v>
      </c>
      <c r="F100" s="25">
        <v>800</v>
      </c>
      <c r="G100" s="227">
        <f t="shared" si="56"/>
        <v>80000</v>
      </c>
      <c r="H100" s="347">
        <f t="shared" si="57"/>
        <v>135.6300013563</v>
      </c>
      <c r="I100" s="501"/>
      <c r="J100" s="501"/>
      <c r="K100" s="501"/>
    </row>
    <row r="101" spans="1:11" ht="16.5" thickBot="1" x14ac:dyDescent="0.3">
      <c r="A101" s="22">
        <v>8</v>
      </c>
      <c r="B101" s="26" t="s">
        <v>1299</v>
      </c>
      <c r="C101" s="23" t="s">
        <v>1280</v>
      </c>
      <c r="D101" s="19">
        <v>0</v>
      </c>
      <c r="E101" s="23">
        <v>0</v>
      </c>
      <c r="F101" s="25">
        <f>75000+225000</f>
        <v>300000</v>
      </c>
      <c r="G101" s="227">
        <f t="shared" si="56"/>
        <v>0</v>
      </c>
      <c r="H101" s="347">
        <f t="shared" si="57"/>
        <v>0</v>
      </c>
      <c r="I101" s="501"/>
      <c r="J101" s="501"/>
      <c r="K101" s="501"/>
    </row>
    <row r="102" spans="1:11" ht="16.5" thickBot="1" x14ac:dyDescent="0.3">
      <c r="A102" s="22">
        <v>9</v>
      </c>
      <c r="B102" s="26" t="s">
        <v>1446</v>
      </c>
      <c r="C102" s="23" t="s">
        <v>30</v>
      </c>
      <c r="D102" s="19">
        <f>10*3*10</f>
        <v>300</v>
      </c>
      <c r="E102" s="23">
        <v>1</v>
      </c>
      <c r="F102" s="25">
        <v>761</v>
      </c>
      <c r="G102" s="227">
        <f t="shared" si="56"/>
        <v>228300</v>
      </c>
      <c r="H102" s="347">
        <f t="shared" si="57"/>
        <v>387.05411637054112</v>
      </c>
      <c r="I102" s="501"/>
      <c r="J102" s="501"/>
      <c r="K102" s="501"/>
    </row>
    <row r="103" spans="1:11" ht="16.5" thickBot="1" x14ac:dyDescent="0.3">
      <c r="A103" s="22">
        <v>10</v>
      </c>
      <c r="B103" s="26" t="s">
        <v>1300</v>
      </c>
      <c r="C103" s="23" t="s">
        <v>1301</v>
      </c>
      <c r="D103" s="19">
        <v>0</v>
      </c>
      <c r="E103" s="23">
        <v>0</v>
      </c>
      <c r="F103" s="25">
        <v>6000</v>
      </c>
      <c r="G103" s="227">
        <f t="shared" si="56"/>
        <v>0</v>
      </c>
      <c r="H103" s="347">
        <f t="shared" si="57"/>
        <v>0</v>
      </c>
      <c r="I103" s="501"/>
      <c r="J103" s="501"/>
      <c r="K103" s="501"/>
    </row>
    <row r="104" spans="1:11" ht="16.5" thickBot="1" x14ac:dyDescent="0.3">
      <c r="A104" s="22">
        <v>11</v>
      </c>
      <c r="B104" s="26" t="s">
        <v>266</v>
      </c>
      <c r="C104" s="23" t="s">
        <v>1302</v>
      </c>
      <c r="D104" s="19">
        <v>0</v>
      </c>
      <c r="E104" s="19">
        <v>0</v>
      </c>
      <c r="F104" s="19">
        <v>0</v>
      </c>
      <c r="G104" s="227">
        <f t="shared" si="56"/>
        <v>0</v>
      </c>
      <c r="H104" s="347">
        <f t="shared" si="57"/>
        <v>0</v>
      </c>
      <c r="I104" s="501"/>
      <c r="J104" s="501"/>
      <c r="K104" s="501"/>
    </row>
    <row r="105" spans="1:11" ht="16.5" thickBot="1" x14ac:dyDescent="0.3">
      <c r="A105" s="22">
        <v>12</v>
      </c>
      <c r="B105" s="26" t="s">
        <v>267</v>
      </c>
      <c r="C105" s="23" t="s">
        <v>1302</v>
      </c>
      <c r="D105" s="19">
        <v>0</v>
      </c>
      <c r="E105" s="19">
        <v>0</v>
      </c>
      <c r="F105" s="19">
        <v>0</v>
      </c>
      <c r="G105" s="227">
        <f t="shared" si="56"/>
        <v>0</v>
      </c>
      <c r="H105" s="347">
        <f t="shared" si="57"/>
        <v>0</v>
      </c>
      <c r="I105" s="501"/>
      <c r="J105" s="501"/>
      <c r="K105" s="501"/>
    </row>
    <row r="106" spans="1:11" ht="16.5" thickBot="1" x14ac:dyDescent="0.3">
      <c r="A106" s="22">
        <v>13</v>
      </c>
      <c r="B106" s="26" t="s">
        <v>268</v>
      </c>
      <c r="C106" s="23" t="s">
        <v>1302</v>
      </c>
      <c r="D106" s="19">
        <v>0</v>
      </c>
      <c r="E106" s="19">
        <v>0</v>
      </c>
      <c r="F106" s="19">
        <v>0</v>
      </c>
      <c r="G106" s="227">
        <f t="shared" si="56"/>
        <v>0</v>
      </c>
      <c r="H106" s="347">
        <f t="shared" si="57"/>
        <v>0</v>
      </c>
      <c r="I106" s="501"/>
      <c r="J106" s="501"/>
      <c r="K106" s="501"/>
    </row>
    <row r="107" spans="1:11" ht="16.5" thickBot="1" x14ac:dyDescent="0.3">
      <c r="A107" s="22">
        <v>14</v>
      </c>
      <c r="B107" s="26" t="s">
        <v>269</v>
      </c>
      <c r="C107" s="23" t="s">
        <v>1302</v>
      </c>
      <c r="D107" s="19">
        <v>0</v>
      </c>
      <c r="E107" s="19">
        <v>0</v>
      </c>
      <c r="F107" s="19">
        <v>0</v>
      </c>
      <c r="G107" s="227">
        <f t="shared" si="56"/>
        <v>0</v>
      </c>
      <c r="H107" s="347">
        <f t="shared" si="57"/>
        <v>0</v>
      </c>
      <c r="I107" s="501"/>
      <c r="J107" s="501"/>
      <c r="K107" s="501"/>
    </row>
    <row r="108" spans="1:11" ht="16.5" thickBot="1" x14ac:dyDescent="0.3">
      <c r="A108" s="22">
        <v>15</v>
      </c>
      <c r="B108" s="26" t="s">
        <v>87</v>
      </c>
      <c r="C108" s="23" t="s">
        <v>85</v>
      </c>
      <c r="D108" s="19">
        <v>0</v>
      </c>
      <c r="E108" s="19">
        <v>0</v>
      </c>
      <c r="F108" s="19">
        <v>0</v>
      </c>
      <c r="G108" s="227">
        <f t="shared" si="56"/>
        <v>0</v>
      </c>
      <c r="H108" s="347">
        <f t="shared" si="57"/>
        <v>0</v>
      </c>
      <c r="I108" s="501"/>
      <c r="J108" s="501"/>
      <c r="K108" s="501"/>
    </row>
    <row r="109" spans="1:11" ht="16.5" thickBot="1" x14ac:dyDescent="0.3">
      <c r="A109" s="22">
        <v>16</v>
      </c>
      <c r="B109" s="26" t="s">
        <v>1303</v>
      </c>
      <c r="C109" s="23" t="s">
        <v>85</v>
      </c>
      <c r="D109" s="19">
        <v>0</v>
      </c>
      <c r="E109" s="19">
        <v>0</v>
      </c>
      <c r="F109" s="19">
        <v>0</v>
      </c>
      <c r="G109" s="227">
        <f t="shared" si="56"/>
        <v>0</v>
      </c>
      <c r="H109" s="347">
        <f t="shared" si="57"/>
        <v>0</v>
      </c>
      <c r="I109" s="501"/>
      <c r="J109" s="501"/>
      <c r="K109" s="501"/>
    </row>
    <row r="110" spans="1:11" ht="16.5" thickBot="1" x14ac:dyDescent="0.3">
      <c r="A110" s="22">
        <v>17</v>
      </c>
      <c r="B110" s="26" t="s">
        <v>270</v>
      </c>
      <c r="C110" s="23" t="s">
        <v>90</v>
      </c>
      <c r="D110" s="23">
        <v>20</v>
      </c>
      <c r="E110" s="23">
        <v>10</v>
      </c>
      <c r="F110" s="25">
        <v>800</v>
      </c>
      <c r="G110" s="227">
        <f t="shared" si="56"/>
        <v>160000</v>
      </c>
      <c r="H110" s="347">
        <f t="shared" si="57"/>
        <v>271.2600027126</v>
      </c>
      <c r="I110" s="501"/>
      <c r="J110" s="501"/>
      <c r="K110" s="501"/>
    </row>
    <row r="111" spans="1:11" ht="16.5" thickBot="1" x14ac:dyDescent="0.3">
      <c r="A111" s="22">
        <v>18</v>
      </c>
      <c r="B111" s="26" t="s">
        <v>1304</v>
      </c>
      <c r="C111" s="23" t="s">
        <v>1305</v>
      </c>
      <c r="D111" s="23">
        <v>78</v>
      </c>
      <c r="E111" s="23">
        <v>1</v>
      </c>
      <c r="F111" s="25">
        <v>1500</v>
      </c>
      <c r="G111" s="227">
        <f t="shared" si="56"/>
        <v>117000</v>
      </c>
      <c r="H111" s="347">
        <f t="shared" si="57"/>
        <v>198.35887698358877</v>
      </c>
      <c r="I111" s="501"/>
      <c r="J111" s="501"/>
      <c r="K111" s="501"/>
    </row>
    <row r="112" spans="1:11" ht="16.5" thickBot="1" x14ac:dyDescent="0.3">
      <c r="A112" s="22">
        <v>19</v>
      </c>
      <c r="B112" s="26" t="s">
        <v>265</v>
      </c>
      <c r="C112" s="23" t="s">
        <v>1306</v>
      </c>
      <c r="D112" s="23">
        <v>0</v>
      </c>
      <c r="E112" s="23">
        <v>9</v>
      </c>
      <c r="F112" s="25">
        <v>10000</v>
      </c>
      <c r="G112" s="227">
        <f t="shared" si="56"/>
        <v>0</v>
      </c>
      <c r="H112" s="347">
        <f t="shared" si="57"/>
        <v>0</v>
      </c>
      <c r="I112" s="501"/>
      <c r="J112" s="501"/>
      <c r="K112" s="501"/>
    </row>
    <row r="113" spans="1:11" ht="19.149999999999999" customHeight="1" thickBot="1" x14ac:dyDescent="0.3">
      <c r="A113" s="780" t="s">
        <v>525</v>
      </c>
      <c r="B113" s="781"/>
      <c r="C113" s="781"/>
      <c r="D113" s="781"/>
      <c r="E113" s="783"/>
      <c r="F113" s="348"/>
      <c r="G113" s="349">
        <f>SUM(G94:G112)</f>
        <v>19551300</v>
      </c>
      <c r="H113" s="350">
        <f>SUM(H94:H112)</f>
        <v>33146.785568967862</v>
      </c>
      <c r="I113" s="263">
        <f>I94+I96</f>
        <v>423000</v>
      </c>
      <c r="J113" s="263">
        <f>J94+J96</f>
        <v>225600</v>
      </c>
      <c r="K113" s="501"/>
    </row>
    <row r="114" spans="1:11" ht="18.75" thickBot="1" x14ac:dyDescent="0.3">
      <c r="A114" s="233"/>
      <c r="B114" s="234" t="s">
        <v>399</v>
      </c>
      <c r="C114" s="234"/>
      <c r="D114" s="234"/>
      <c r="E114" s="234"/>
      <c r="F114" s="234"/>
      <c r="G114" s="234"/>
      <c r="H114" s="347"/>
    </row>
    <row r="115" spans="1:11" ht="18.75" thickBot="1" x14ac:dyDescent="0.3">
      <c r="A115" s="205"/>
      <c r="B115" s="205" t="s">
        <v>400</v>
      </c>
      <c r="C115" s="205"/>
      <c r="D115" s="205"/>
      <c r="E115" s="205"/>
      <c r="F115" s="205"/>
      <c r="G115" s="205"/>
      <c r="H115" s="347"/>
    </row>
    <row r="116" spans="1:11" ht="16.5" thickBot="1" x14ac:dyDescent="0.3">
      <c r="A116" s="188">
        <v>1</v>
      </c>
      <c r="B116" s="189" t="s">
        <v>880</v>
      </c>
      <c r="C116" s="225" t="s">
        <v>28</v>
      </c>
      <c r="D116" s="226">
        <v>1</v>
      </c>
      <c r="E116" s="226">
        <v>3</v>
      </c>
      <c r="F116" s="227">
        <v>8000</v>
      </c>
      <c r="G116" s="227">
        <f>D116*E116*F116</f>
        <v>24000</v>
      </c>
      <c r="H116" s="347">
        <f t="shared" ref="H116:H139" si="58">G116/589.84</f>
        <v>40.689000406890003</v>
      </c>
      <c r="I116" s="642">
        <f t="shared" ref="I116:I135" si="59">G116*0.03</f>
        <v>720</v>
      </c>
      <c r="J116" s="642">
        <f>550*D116</f>
        <v>550</v>
      </c>
      <c r="K116" s="642">
        <f t="shared" ref="K116:K135" si="60">G116/D116</f>
        <v>24000</v>
      </c>
    </row>
    <row r="117" spans="1:11" ht="16.5" thickBot="1" x14ac:dyDescent="0.3">
      <c r="A117" s="188">
        <v>2</v>
      </c>
      <c r="B117" s="189" t="s">
        <v>862</v>
      </c>
      <c r="C117" s="225" t="s">
        <v>28</v>
      </c>
      <c r="D117" s="226">
        <v>1</v>
      </c>
      <c r="E117" s="226">
        <v>3</v>
      </c>
      <c r="F117" s="227">
        <v>8000</v>
      </c>
      <c r="G117" s="227">
        <f t="shared" ref="G117:G139" si="61">D117*E117*F117</f>
        <v>24000</v>
      </c>
      <c r="H117" s="347">
        <f t="shared" si="58"/>
        <v>40.689000406890003</v>
      </c>
      <c r="I117" s="642">
        <f t="shared" si="59"/>
        <v>720</v>
      </c>
      <c r="J117" s="642">
        <f t="shared" ref="J117:J120" si="62">550*D117</f>
        <v>550</v>
      </c>
      <c r="K117" s="642">
        <f t="shared" si="60"/>
        <v>24000</v>
      </c>
    </row>
    <row r="118" spans="1:11" ht="16.5" thickBot="1" x14ac:dyDescent="0.3">
      <c r="A118" s="188">
        <v>3</v>
      </c>
      <c r="B118" s="189" t="s">
        <v>863</v>
      </c>
      <c r="C118" s="225" t="s">
        <v>28</v>
      </c>
      <c r="D118" s="226">
        <v>1</v>
      </c>
      <c r="E118" s="226">
        <v>3</v>
      </c>
      <c r="F118" s="227">
        <v>8000</v>
      </c>
      <c r="G118" s="227">
        <f t="shared" si="61"/>
        <v>24000</v>
      </c>
      <c r="H118" s="347">
        <f t="shared" si="58"/>
        <v>40.689000406890003</v>
      </c>
      <c r="I118" s="642">
        <f t="shared" si="59"/>
        <v>720</v>
      </c>
      <c r="J118" s="642">
        <f t="shared" si="62"/>
        <v>550</v>
      </c>
      <c r="K118" s="642">
        <f t="shared" si="60"/>
        <v>24000</v>
      </c>
    </row>
    <row r="119" spans="1:11" ht="29.25" thickBot="1" x14ac:dyDescent="0.3">
      <c r="A119" s="188">
        <v>4</v>
      </c>
      <c r="B119" s="189" t="s">
        <v>486</v>
      </c>
      <c r="C119" s="225" t="s">
        <v>28</v>
      </c>
      <c r="D119" s="226">
        <v>1</v>
      </c>
      <c r="E119" s="226">
        <v>3</v>
      </c>
      <c r="F119" s="227">
        <v>8000</v>
      </c>
      <c r="G119" s="227">
        <f t="shared" si="61"/>
        <v>24000</v>
      </c>
      <c r="H119" s="347">
        <f t="shared" si="58"/>
        <v>40.689000406890003</v>
      </c>
      <c r="I119" s="642">
        <f t="shared" si="59"/>
        <v>720</v>
      </c>
      <c r="J119" s="642">
        <f t="shared" si="62"/>
        <v>550</v>
      </c>
      <c r="K119" s="642">
        <f t="shared" si="60"/>
        <v>24000</v>
      </c>
    </row>
    <row r="120" spans="1:11" ht="29.25" thickBot="1" x14ac:dyDescent="0.3">
      <c r="A120" s="188">
        <v>5</v>
      </c>
      <c r="B120" s="189" t="s">
        <v>864</v>
      </c>
      <c r="C120" s="225" t="s">
        <v>28</v>
      </c>
      <c r="D120" s="226">
        <v>1</v>
      </c>
      <c r="E120" s="226">
        <v>3</v>
      </c>
      <c r="F120" s="227">
        <v>8000</v>
      </c>
      <c r="G120" s="227">
        <f t="shared" si="61"/>
        <v>24000</v>
      </c>
      <c r="H120" s="347">
        <f t="shared" si="58"/>
        <v>40.689000406890003</v>
      </c>
      <c r="I120" s="642">
        <f t="shared" si="59"/>
        <v>720</v>
      </c>
      <c r="J120" s="642">
        <f t="shared" si="62"/>
        <v>550</v>
      </c>
      <c r="K120" s="642">
        <f t="shared" si="60"/>
        <v>24000</v>
      </c>
    </row>
    <row r="121" spans="1:11" ht="16.5" thickBot="1" x14ac:dyDescent="0.3">
      <c r="A121" s="188">
        <v>6</v>
      </c>
      <c r="B121" s="189" t="s">
        <v>879</v>
      </c>
      <c r="C121" s="225" t="s">
        <v>28</v>
      </c>
      <c r="D121" s="226">
        <v>1</v>
      </c>
      <c r="E121" s="226">
        <v>3</v>
      </c>
      <c r="F121" s="227">
        <v>5000</v>
      </c>
      <c r="G121" s="227">
        <f t="shared" si="61"/>
        <v>15000</v>
      </c>
      <c r="H121" s="347">
        <f t="shared" si="58"/>
        <v>25.43062525430625</v>
      </c>
      <c r="I121" s="642">
        <f t="shared" si="59"/>
        <v>450</v>
      </c>
      <c r="J121" s="642">
        <f>450*D121</f>
        <v>450</v>
      </c>
      <c r="K121" s="642">
        <f t="shared" si="60"/>
        <v>15000</v>
      </c>
    </row>
    <row r="122" spans="1:11" ht="16.5" thickBot="1" x14ac:dyDescent="0.3">
      <c r="A122" s="188">
        <v>7</v>
      </c>
      <c r="B122" s="189" t="s">
        <v>865</v>
      </c>
      <c r="C122" s="225" t="s">
        <v>28</v>
      </c>
      <c r="D122" s="226">
        <v>1</v>
      </c>
      <c r="E122" s="226">
        <v>3</v>
      </c>
      <c r="F122" s="227">
        <v>8000</v>
      </c>
      <c r="G122" s="227">
        <f t="shared" si="61"/>
        <v>24000</v>
      </c>
      <c r="H122" s="347">
        <f t="shared" si="58"/>
        <v>40.689000406890003</v>
      </c>
      <c r="I122" s="642">
        <f t="shared" si="59"/>
        <v>720</v>
      </c>
      <c r="J122" s="642">
        <f t="shared" ref="J122:J123" si="63">550*D122</f>
        <v>550</v>
      </c>
      <c r="K122" s="642">
        <f t="shared" si="60"/>
        <v>24000</v>
      </c>
    </row>
    <row r="123" spans="1:11" ht="16.5" thickBot="1" x14ac:dyDescent="0.3">
      <c r="A123" s="188">
        <v>8</v>
      </c>
      <c r="B123" s="189" t="s">
        <v>866</v>
      </c>
      <c r="C123" s="225" t="s">
        <v>28</v>
      </c>
      <c r="D123" s="226">
        <v>1</v>
      </c>
      <c r="E123" s="226">
        <v>3</v>
      </c>
      <c r="F123" s="227">
        <v>8000</v>
      </c>
      <c r="G123" s="227">
        <f t="shared" si="61"/>
        <v>24000</v>
      </c>
      <c r="H123" s="347">
        <f t="shared" si="58"/>
        <v>40.689000406890003</v>
      </c>
      <c r="I123" s="642">
        <f t="shared" si="59"/>
        <v>720</v>
      </c>
      <c r="J123" s="642">
        <f t="shared" si="63"/>
        <v>550</v>
      </c>
      <c r="K123" s="642">
        <f>G123/D123</f>
        <v>24000</v>
      </c>
    </row>
    <row r="124" spans="1:11" ht="29.25" thickBot="1" x14ac:dyDescent="0.3">
      <c r="A124" s="188">
        <v>9</v>
      </c>
      <c r="B124" s="189" t="s">
        <v>867</v>
      </c>
      <c r="C124" s="225" t="s">
        <v>28</v>
      </c>
      <c r="D124" s="226">
        <v>1</v>
      </c>
      <c r="E124" s="226">
        <v>3</v>
      </c>
      <c r="F124" s="227">
        <v>8000</v>
      </c>
      <c r="G124" s="227">
        <f t="shared" si="61"/>
        <v>24000</v>
      </c>
      <c r="H124" s="347">
        <f t="shared" si="58"/>
        <v>40.689000406890003</v>
      </c>
      <c r="I124" s="642">
        <f t="shared" si="59"/>
        <v>720</v>
      </c>
      <c r="J124" s="642">
        <f>550*D124</f>
        <v>550</v>
      </c>
      <c r="K124" s="642">
        <f t="shared" si="60"/>
        <v>24000</v>
      </c>
    </row>
    <row r="125" spans="1:11" ht="29.25" thickBot="1" x14ac:dyDescent="0.3">
      <c r="A125" s="188">
        <v>10</v>
      </c>
      <c r="B125" s="189" t="s">
        <v>868</v>
      </c>
      <c r="C125" s="225" t="s">
        <v>28</v>
      </c>
      <c r="D125" s="226">
        <v>1</v>
      </c>
      <c r="E125" s="226">
        <v>3</v>
      </c>
      <c r="F125" s="227">
        <v>8000</v>
      </c>
      <c r="G125" s="227">
        <f t="shared" si="61"/>
        <v>24000</v>
      </c>
      <c r="H125" s="347">
        <f t="shared" si="58"/>
        <v>40.689000406890003</v>
      </c>
      <c r="I125" s="642">
        <f t="shared" si="59"/>
        <v>720</v>
      </c>
      <c r="J125" s="642">
        <f t="shared" ref="J125" si="64">550*D125</f>
        <v>550</v>
      </c>
      <c r="K125" s="642">
        <f t="shared" si="60"/>
        <v>24000</v>
      </c>
    </row>
    <row r="126" spans="1:11" ht="16.5" thickBot="1" x14ac:dyDescent="0.3">
      <c r="A126" s="188">
        <v>11</v>
      </c>
      <c r="B126" s="189" t="s">
        <v>318</v>
      </c>
      <c r="C126" s="225" t="s">
        <v>28</v>
      </c>
      <c r="D126" s="226">
        <v>1</v>
      </c>
      <c r="E126" s="226">
        <v>3</v>
      </c>
      <c r="F126" s="227">
        <v>5000</v>
      </c>
      <c r="G126" s="227">
        <f t="shared" si="61"/>
        <v>15000</v>
      </c>
      <c r="H126" s="347">
        <f t="shared" si="58"/>
        <v>25.43062525430625</v>
      </c>
      <c r="I126" s="642">
        <f t="shared" si="59"/>
        <v>450</v>
      </c>
      <c r="J126" s="642">
        <f>450*D126</f>
        <v>450</v>
      </c>
      <c r="K126" s="642">
        <f t="shared" si="60"/>
        <v>15000</v>
      </c>
    </row>
    <row r="127" spans="1:11" ht="16.5" thickBot="1" x14ac:dyDescent="0.3">
      <c r="A127" s="188">
        <v>12</v>
      </c>
      <c r="B127" s="189" t="s">
        <v>319</v>
      </c>
      <c r="C127" s="225" t="s">
        <v>28</v>
      </c>
      <c r="D127" s="226">
        <v>1</v>
      </c>
      <c r="E127" s="226">
        <v>3</v>
      </c>
      <c r="F127" s="227">
        <v>5000</v>
      </c>
      <c r="G127" s="227">
        <f t="shared" si="61"/>
        <v>15000</v>
      </c>
      <c r="H127" s="347">
        <f t="shared" si="58"/>
        <v>25.43062525430625</v>
      </c>
      <c r="I127" s="642">
        <f t="shared" si="59"/>
        <v>450</v>
      </c>
      <c r="J127" s="642">
        <f t="shared" ref="J127:J131" si="65">450*D127</f>
        <v>450</v>
      </c>
      <c r="K127" s="642">
        <f t="shared" si="60"/>
        <v>15000</v>
      </c>
    </row>
    <row r="128" spans="1:11" x14ac:dyDescent="0.25">
      <c r="A128" s="22">
        <v>13</v>
      </c>
      <c r="B128" s="189" t="s">
        <v>1471</v>
      </c>
      <c r="C128" s="225" t="s">
        <v>28</v>
      </c>
      <c r="D128" s="226">
        <v>1</v>
      </c>
      <c r="E128" s="226">
        <v>3</v>
      </c>
      <c r="F128" s="227">
        <v>5000</v>
      </c>
      <c r="G128" s="25">
        <f t="shared" si="61"/>
        <v>15000</v>
      </c>
      <c r="H128" s="268">
        <f t="shared" si="58"/>
        <v>25.43062525430625</v>
      </c>
      <c r="I128" s="642">
        <f t="shared" si="59"/>
        <v>450</v>
      </c>
      <c r="J128" s="642">
        <f t="shared" si="65"/>
        <v>450</v>
      </c>
      <c r="K128" s="642">
        <f t="shared" si="60"/>
        <v>15000</v>
      </c>
    </row>
    <row r="129" spans="1:11" ht="16.5" thickBot="1" x14ac:dyDescent="0.3">
      <c r="A129" s="22">
        <v>14</v>
      </c>
      <c r="B129" s="189" t="s">
        <v>1472</v>
      </c>
      <c r="C129" s="225" t="s">
        <v>28</v>
      </c>
      <c r="D129" s="226">
        <v>1</v>
      </c>
      <c r="E129" s="226">
        <v>3</v>
      </c>
      <c r="F129" s="227">
        <v>5000</v>
      </c>
      <c r="G129" s="25">
        <f t="shared" si="61"/>
        <v>15000</v>
      </c>
      <c r="H129" s="268">
        <f t="shared" si="58"/>
        <v>25.43062525430625</v>
      </c>
      <c r="I129" s="642">
        <f t="shared" si="59"/>
        <v>450</v>
      </c>
      <c r="J129" s="642">
        <f t="shared" si="65"/>
        <v>450</v>
      </c>
      <c r="K129" s="642">
        <f t="shared" si="60"/>
        <v>15000</v>
      </c>
    </row>
    <row r="130" spans="1:11" ht="16.5" thickBot="1" x14ac:dyDescent="0.3">
      <c r="A130" s="188">
        <v>15</v>
      </c>
      <c r="B130" s="189" t="s">
        <v>320</v>
      </c>
      <c r="C130" s="225" t="s">
        <v>28</v>
      </c>
      <c r="D130" s="226">
        <v>1</v>
      </c>
      <c r="E130" s="226">
        <v>3</v>
      </c>
      <c r="F130" s="227">
        <v>5000</v>
      </c>
      <c r="G130" s="227">
        <f t="shared" si="61"/>
        <v>15000</v>
      </c>
      <c r="H130" s="347">
        <f t="shared" si="58"/>
        <v>25.43062525430625</v>
      </c>
      <c r="I130" s="642">
        <f t="shared" si="59"/>
        <v>450</v>
      </c>
      <c r="J130" s="642">
        <f t="shared" si="65"/>
        <v>450</v>
      </c>
      <c r="K130" s="642">
        <f t="shared" si="60"/>
        <v>15000</v>
      </c>
    </row>
    <row r="131" spans="1:11" ht="16.5" thickBot="1" x14ac:dyDescent="0.3">
      <c r="A131" s="188">
        <v>16</v>
      </c>
      <c r="B131" s="189" t="s">
        <v>321</v>
      </c>
      <c r="C131" s="225" t="s">
        <v>28</v>
      </c>
      <c r="D131" s="226">
        <v>1</v>
      </c>
      <c r="E131" s="226">
        <v>3</v>
      </c>
      <c r="F131" s="227">
        <v>5000</v>
      </c>
      <c r="G131" s="227">
        <f t="shared" si="61"/>
        <v>15000</v>
      </c>
      <c r="H131" s="347">
        <f t="shared" si="58"/>
        <v>25.43062525430625</v>
      </c>
      <c r="I131" s="642">
        <f t="shared" si="59"/>
        <v>450</v>
      </c>
      <c r="J131" s="642">
        <f t="shared" si="65"/>
        <v>450</v>
      </c>
      <c r="K131" s="642">
        <f t="shared" si="60"/>
        <v>15000</v>
      </c>
    </row>
    <row r="132" spans="1:11" ht="16.5" thickBot="1" x14ac:dyDescent="0.3">
      <c r="A132" s="188">
        <v>17</v>
      </c>
      <c r="B132" s="189" t="s">
        <v>1360</v>
      </c>
      <c r="C132" s="225" t="s">
        <v>28</v>
      </c>
      <c r="D132" s="226">
        <v>3</v>
      </c>
      <c r="E132" s="226">
        <v>3</v>
      </c>
      <c r="F132" s="227">
        <v>12500</v>
      </c>
      <c r="G132" s="227">
        <f t="shared" si="61"/>
        <v>112500</v>
      </c>
      <c r="H132" s="347">
        <f t="shared" si="58"/>
        <v>190.72968940729689</v>
      </c>
      <c r="I132" s="642">
        <f t="shared" si="59"/>
        <v>3375</v>
      </c>
      <c r="J132" s="642">
        <f>1050*D132</f>
        <v>3150</v>
      </c>
      <c r="K132" s="642">
        <f t="shared" si="60"/>
        <v>37500</v>
      </c>
    </row>
    <row r="133" spans="1:11" ht="16.5" thickBot="1" x14ac:dyDescent="0.3">
      <c r="A133" s="188">
        <v>18</v>
      </c>
      <c r="B133" s="189" t="s">
        <v>487</v>
      </c>
      <c r="C133" s="225" t="s">
        <v>28</v>
      </c>
      <c r="D133" s="226">
        <v>3</v>
      </c>
      <c r="E133" s="226">
        <v>3</v>
      </c>
      <c r="F133" s="227">
        <v>25000</v>
      </c>
      <c r="G133" s="227">
        <f t="shared" si="61"/>
        <v>225000</v>
      </c>
      <c r="H133" s="347">
        <f t="shared" si="58"/>
        <v>381.45937881459378</v>
      </c>
      <c r="I133" s="642">
        <f t="shared" si="59"/>
        <v>6750</v>
      </c>
      <c r="J133" s="642">
        <f>1600*D133</f>
        <v>4800</v>
      </c>
      <c r="K133" s="642">
        <f t="shared" si="60"/>
        <v>75000</v>
      </c>
    </row>
    <row r="134" spans="1:11" ht="16.5" thickBot="1" x14ac:dyDescent="0.3">
      <c r="A134" s="188">
        <v>19</v>
      </c>
      <c r="B134" s="26" t="s">
        <v>271</v>
      </c>
      <c r="C134" s="23" t="s">
        <v>28</v>
      </c>
      <c r="D134" s="24">
        <v>2</v>
      </c>
      <c r="E134" s="226">
        <v>3</v>
      </c>
      <c r="F134" s="25">
        <v>0</v>
      </c>
      <c r="G134" s="227">
        <f t="shared" si="61"/>
        <v>0</v>
      </c>
      <c r="H134" s="347">
        <f t="shared" si="58"/>
        <v>0</v>
      </c>
      <c r="I134" s="642">
        <f t="shared" si="59"/>
        <v>0</v>
      </c>
      <c r="J134" s="642">
        <v>0</v>
      </c>
      <c r="K134" s="642">
        <f t="shared" si="60"/>
        <v>0</v>
      </c>
    </row>
    <row r="135" spans="1:11" ht="16.5" thickBot="1" x14ac:dyDescent="0.3">
      <c r="A135" s="188">
        <v>20</v>
      </c>
      <c r="B135" s="189" t="s">
        <v>757</v>
      </c>
      <c r="C135" s="225" t="s">
        <v>28</v>
      </c>
      <c r="D135" s="226">
        <v>1</v>
      </c>
      <c r="E135" s="226">
        <v>3</v>
      </c>
      <c r="F135" s="227">
        <v>3000</v>
      </c>
      <c r="G135" s="227">
        <f t="shared" si="61"/>
        <v>9000</v>
      </c>
      <c r="H135" s="347">
        <f t="shared" si="58"/>
        <v>15.258375152583751</v>
      </c>
      <c r="I135" s="642">
        <f t="shared" si="59"/>
        <v>270</v>
      </c>
      <c r="J135" s="642">
        <f>350*D135</f>
        <v>350</v>
      </c>
      <c r="K135" s="642">
        <f t="shared" si="60"/>
        <v>9000</v>
      </c>
    </row>
    <row r="136" spans="1:11" ht="16.5" thickBot="1" x14ac:dyDescent="0.3">
      <c r="A136" s="188">
        <v>21</v>
      </c>
      <c r="B136" s="189" t="s">
        <v>488</v>
      </c>
      <c r="C136" s="225" t="s">
        <v>28</v>
      </c>
      <c r="D136" s="226">
        <f>SUM(D116:D135)</f>
        <v>25</v>
      </c>
      <c r="E136" s="226">
        <v>3</v>
      </c>
      <c r="F136" s="227">
        <v>6500</v>
      </c>
      <c r="G136" s="227">
        <f t="shared" si="61"/>
        <v>487500</v>
      </c>
      <c r="H136" s="347">
        <f t="shared" si="58"/>
        <v>826.49532076495314</v>
      </c>
      <c r="I136" s="642">
        <v>0</v>
      </c>
      <c r="J136" s="642">
        <v>0</v>
      </c>
      <c r="K136" s="642">
        <v>0</v>
      </c>
    </row>
    <row r="137" spans="1:11" ht="16.5" thickBot="1" x14ac:dyDescent="0.3">
      <c r="A137" s="188">
        <v>22</v>
      </c>
      <c r="B137" s="189" t="s">
        <v>759</v>
      </c>
      <c r="C137" s="225" t="s">
        <v>28</v>
      </c>
      <c r="D137" s="226">
        <v>25</v>
      </c>
      <c r="E137" s="226">
        <v>3</v>
      </c>
      <c r="F137" s="227">
        <v>800</v>
      </c>
      <c r="G137" s="227">
        <f t="shared" si="61"/>
        <v>60000</v>
      </c>
      <c r="H137" s="347">
        <f t="shared" si="58"/>
        <v>101.722501017225</v>
      </c>
      <c r="I137" s="642">
        <v>0</v>
      </c>
      <c r="J137" s="642">
        <v>0</v>
      </c>
      <c r="K137" s="642">
        <v>0</v>
      </c>
    </row>
    <row r="138" spans="1:11" ht="16.5" thickBot="1" x14ac:dyDescent="0.3">
      <c r="A138" s="188">
        <v>23</v>
      </c>
      <c r="B138" s="189" t="s">
        <v>1281</v>
      </c>
      <c r="C138" s="225" t="s">
        <v>28</v>
      </c>
      <c r="D138" s="226">
        <v>9</v>
      </c>
      <c r="E138" s="226">
        <v>2</v>
      </c>
      <c r="F138" s="227">
        <v>1500</v>
      </c>
      <c r="G138" s="227">
        <f t="shared" si="61"/>
        <v>27000</v>
      </c>
      <c r="H138" s="347">
        <f t="shared" si="58"/>
        <v>45.775125457751251</v>
      </c>
      <c r="I138" s="642">
        <v>0</v>
      </c>
      <c r="J138" s="642">
        <v>0</v>
      </c>
      <c r="K138" s="642">
        <v>0</v>
      </c>
    </row>
    <row r="139" spans="1:11" ht="16.5" thickBot="1" x14ac:dyDescent="0.3">
      <c r="A139" s="265">
        <v>24</v>
      </c>
      <c r="B139" s="26" t="s">
        <v>273</v>
      </c>
      <c r="C139" s="23" t="s">
        <v>29</v>
      </c>
      <c r="D139" s="24">
        <v>50</v>
      </c>
      <c r="E139" s="226">
        <v>1</v>
      </c>
      <c r="F139" s="25">
        <v>800</v>
      </c>
      <c r="G139" s="227">
        <f t="shared" si="61"/>
        <v>40000</v>
      </c>
      <c r="H139" s="374">
        <f t="shared" si="58"/>
        <v>67.81500067815</v>
      </c>
      <c r="I139" s="642">
        <v>0</v>
      </c>
      <c r="J139" s="642">
        <v>0</v>
      </c>
      <c r="K139" s="642">
        <v>0</v>
      </c>
    </row>
    <row r="140" spans="1:11" ht="21" thickBot="1" x14ac:dyDescent="0.3">
      <c r="A140" s="341"/>
      <c r="B140" s="466" t="s">
        <v>1399</v>
      </c>
      <c r="C140" s="343"/>
      <c r="D140" s="343"/>
      <c r="E140" s="343"/>
      <c r="F140" s="344"/>
      <c r="G140" s="464">
        <f>SUM(G116:G139)</f>
        <v>1282000</v>
      </c>
      <c r="H140" s="465">
        <f>SUM(H116:H139)</f>
        <v>2173.4707717347073</v>
      </c>
      <c r="I140" s="263">
        <f>SUM(I116:I139)</f>
        <v>20025</v>
      </c>
      <c r="J140" s="263">
        <f>SUM(J116:J139)</f>
        <v>16400</v>
      </c>
      <c r="K140" s="642"/>
    </row>
    <row r="141" spans="1:11" ht="18.75" thickBot="1" x14ac:dyDescent="0.3">
      <c r="A141" s="205"/>
      <c r="B141" s="205" t="s">
        <v>401</v>
      </c>
      <c r="C141" s="205"/>
      <c r="D141" s="205"/>
      <c r="E141" s="205"/>
      <c r="F141" s="205"/>
      <c r="G141" s="205"/>
      <c r="H141" s="205"/>
      <c r="I141" s="205"/>
      <c r="J141" s="205"/>
      <c r="K141" s="205"/>
    </row>
    <row r="142" spans="1:11" ht="16.5" thickBot="1" x14ac:dyDescent="0.3">
      <c r="A142" s="188">
        <v>1</v>
      </c>
      <c r="B142" s="189" t="s">
        <v>823</v>
      </c>
      <c r="C142" s="225" t="s">
        <v>28</v>
      </c>
      <c r="D142" s="226">
        <v>10</v>
      </c>
      <c r="E142" s="225">
        <v>3</v>
      </c>
      <c r="F142" s="227">
        <v>3000</v>
      </c>
      <c r="G142" s="227">
        <f t="shared" ref="G142:G154" si="66">D142*E142*F142</f>
        <v>90000</v>
      </c>
      <c r="H142" s="347">
        <f t="shared" ref="H142:H154" si="67">G142/589.84</f>
        <v>152.5837515258375</v>
      </c>
      <c r="I142" s="642">
        <f t="shared" ref="I142:I163" si="68">G142*0.03</f>
        <v>2700</v>
      </c>
      <c r="J142" s="642">
        <f>350*D142</f>
        <v>3500</v>
      </c>
      <c r="K142" s="642">
        <f t="shared" ref="K142:K163" si="69">G142/D142</f>
        <v>9000</v>
      </c>
    </row>
    <row r="143" spans="1:11" ht="16.5" thickBot="1" x14ac:dyDescent="0.3">
      <c r="A143" s="188">
        <v>2</v>
      </c>
      <c r="B143" s="189" t="s">
        <v>827</v>
      </c>
      <c r="C143" s="225" t="s">
        <v>28</v>
      </c>
      <c r="D143" s="226">
        <v>30</v>
      </c>
      <c r="E143" s="225">
        <v>3</v>
      </c>
      <c r="F143" s="227">
        <v>3000</v>
      </c>
      <c r="G143" s="227">
        <f t="shared" si="66"/>
        <v>270000</v>
      </c>
      <c r="H143" s="347">
        <f t="shared" si="67"/>
        <v>457.7512545775125</v>
      </c>
      <c r="I143" s="642">
        <f t="shared" si="68"/>
        <v>8100</v>
      </c>
      <c r="J143" s="642">
        <f t="shared" ref="J143:J154" si="70">350*D143</f>
        <v>10500</v>
      </c>
      <c r="K143" s="642">
        <f t="shared" si="69"/>
        <v>9000</v>
      </c>
    </row>
    <row r="144" spans="1:11" ht="16.5" thickBot="1" x14ac:dyDescent="0.3">
      <c r="A144" s="188">
        <v>3</v>
      </c>
      <c r="B144" s="189" t="s">
        <v>831</v>
      </c>
      <c r="C144" s="225" t="s">
        <v>28</v>
      </c>
      <c r="D144" s="226">
        <v>8</v>
      </c>
      <c r="E144" s="225">
        <v>3</v>
      </c>
      <c r="F144" s="227">
        <v>3000</v>
      </c>
      <c r="G144" s="227">
        <f t="shared" si="66"/>
        <v>72000</v>
      </c>
      <c r="H144" s="347">
        <f t="shared" si="67"/>
        <v>122.06700122067001</v>
      </c>
      <c r="I144" s="642">
        <f t="shared" si="68"/>
        <v>2160</v>
      </c>
      <c r="J144" s="642">
        <f t="shared" si="70"/>
        <v>2800</v>
      </c>
      <c r="K144" s="642">
        <f t="shared" si="69"/>
        <v>9000</v>
      </c>
    </row>
    <row r="145" spans="1:11" ht="16.5" thickBot="1" x14ac:dyDescent="0.3">
      <c r="A145" s="188">
        <v>4</v>
      </c>
      <c r="B145" s="189" t="s">
        <v>835</v>
      </c>
      <c r="C145" s="225" t="s">
        <v>28</v>
      </c>
      <c r="D145" s="226">
        <v>8</v>
      </c>
      <c r="E145" s="225">
        <v>3</v>
      </c>
      <c r="F145" s="227">
        <v>3000</v>
      </c>
      <c r="G145" s="227">
        <f t="shared" si="66"/>
        <v>72000</v>
      </c>
      <c r="H145" s="347">
        <f t="shared" si="67"/>
        <v>122.06700122067001</v>
      </c>
      <c r="I145" s="642">
        <f t="shared" si="68"/>
        <v>2160</v>
      </c>
      <c r="J145" s="642">
        <f t="shared" si="70"/>
        <v>2800</v>
      </c>
      <c r="K145" s="642">
        <f t="shared" si="69"/>
        <v>9000</v>
      </c>
    </row>
    <row r="146" spans="1:11" ht="16.5" thickBot="1" x14ac:dyDescent="0.3">
      <c r="A146" s="188">
        <v>5</v>
      </c>
      <c r="B146" s="189" t="s">
        <v>838</v>
      </c>
      <c r="C146" s="225" t="s">
        <v>28</v>
      </c>
      <c r="D146" s="226">
        <v>12</v>
      </c>
      <c r="E146" s="225">
        <v>3</v>
      </c>
      <c r="F146" s="227">
        <v>3000</v>
      </c>
      <c r="G146" s="227">
        <f t="shared" si="66"/>
        <v>108000</v>
      </c>
      <c r="H146" s="347">
        <f t="shared" si="67"/>
        <v>183.100501831005</v>
      </c>
      <c r="I146" s="642">
        <f t="shared" si="68"/>
        <v>3240</v>
      </c>
      <c r="J146" s="642">
        <f t="shared" si="70"/>
        <v>4200</v>
      </c>
      <c r="K146" s="642">
        <f t="shared" si="69"/>
        <v>9000</v>
      </c>
    </row>
    <row r="147" spans="1:11" ht="16.5" thickBot="1" x14ac:dyDescent="0.3">
      <c r="A147" s="188">
        <v>6</v>
      </c>
      <c r="B147" s="189" t="s">
        <v>846</v>
      </c>
      <c r="C147" s="225" t="s">
        <v>28</v>
      </c>
      <c r="D147" s="226">
        <v>30</v>
      </c>
      <c r="E147" s="225">
        <v>3</v>
      </c>
      <c r="F147" s="227">
        <v>3000</v>
      </c>
      <c r="G147" s="227">
        <f t="shared" si="66"/>
        <v>270000</v>
      </c>
      <c r="H147" s="347">
        <f t="shared" si="67"/>
        <v>457.7512545775125</v>
      </c>
      <c r="I147" s="642">
        <f t="shared" si="68"/>
        <v>8100</v>
      </c>
      <c r="J147" s="642">
        <f t="shared" si="70"/>
        <v>10500</v>
      </c>
      <c r="K147" s="642">
        <f t="shared" si="69"/>
        <v>9000</v>
      </c>
    </row>
    <row r="148" spans="1:11" ht="16.5" thickBot="1" x14ac:dyDescent="0.3">
      <c r="A148" s="188">
        <v>7</v>
      </c>
      <c r="B148" s="189" t="s">
        <v>842</v>
      </c>
      <c r="C148" s="225" t="s">
        <v>28</v>
      </c>
      <c r="D148" s="226">
        <v>6</v>
      </c>
      <c r="E148" s="225">
        <v>3</v>
      </c>
      <c r="F148" s="227">
        <v>3000</v>
      </c>
      <c r="G148" s="227">
        <f t="shared" si="66"/>
        <v>54000</v>
      </c>
      <c r="H148" s="347">
        <f t="shared" si="67"/>
        <v>91.550250915502502</v>
      </c>
      <c r="I148" s="642">
        <f t="shared" si="68"/>
        <v>1620</v>
      </c>
      <c r="J148" s="642">
        <f t="shared" si="70"/>
        <v>2100</v>
      </c>
      <c r="K148" s="642">
        <f t="shared" si="69"/>
        <v>9000</v>
      </c>
    </row>
    <row r="149" spans="1:11" ht="16.5" thickBot="1" x14ac:dyDescent="0.3">
      <c r="A149" s="188">
        <v>8</v>
      </c>
      <c r="B149" s="189" t="s">
        <v>850</v>
      </c>
      <c r="C149" s="225" t="s">
        <v>28</v>
      </c>
      <c r="D149" s="226">
        <v>28</v>
      </c>
      <c r="E149" s="225">
        <v>3</v>
      </c>
      <c r="F149" s="227">
        <v>3000</v>
      </c>
      <c r="G149" s="227">
        <f t="shared" si="66"/>
        <v>252000</v>
      </c>
      <c r="H149" s="347">
        <f t="shared" si="67"/>
        <v>427.23450427234502</v>
      </c>
      <c r="I149" s="642">
        <f t="shared" si="68"/>
        <v>7560</v>
      </c>
      <c r="J149" s="642">
        <f t="shared" si="70"/>
        <v>9800</v>
      </c>
      <c r="K149" s="642">
        <f t="shared" si="69"/>
        <v>9000</v>
      </c>
    </row>
    <row r="150" spans="1:11" ht="16.5" thickBot="1" x14ac:dyDescent="0.3">
      <c r="A150" s="188">
        <v>9</v>
      </c>
      <c r="B150" s="189" t="s">
        <v>854</v>
      </c>
      <c r="C150" s="225" t="s">
        <v>28</v>
      </c>
      <c r="D150" s="226">
        <v>16</v>
      </c>
      <c r="E150" s="225">
        <v>3</v>
      </c>
      <c r="F150" s="227">
        <v>3000</v>
      </c>
      <c r="G150" s="227">
        <f t="shared" si="66"/>
        <v>144000</v>
      </c>
      <c r="H150" s="347">
        <f t="shared" si="67"/>
        <v>244.13400244134002</v>
      </c>
      <c r="I150" s="642">
        <f t="shared" si="68"/>
        <v>4320</v>
      </c>
      <c r="J150" s="642">
        <f t="shared" si="70"/>
        <v>5600</v>
      </c>
      <c r="K150" s="642">
        <f t="shared" si="69"/>
        <v>9000</v>
      </c>
    </row>
    <row r="151" spans="1:11" ht="16.5" thickBot="1" x14ac:dyDescent="0.3">
      <c r="A151" s="188">
        <v>10</v>
      </c>
      <c r="B151" s="189" t="s">
        <v>858</v>
      </c>
      <c r="C151" s="225" t="s">
        <v>28</v>
      </c>
      <c r="D151" s="226">
        <v>4</v>
      </c>
      <c r="E151" s="225">
        <v>3</v>
      </c>
      <c r="F151" s="227">
        <v>3000</v>
      </c>
      <c r="G151" s="227">
        <f t="shared" si="66"/>
        <v>36000</v>
      </c>
      <c r="H151" s="347">
        <f t="shared" si="67"/>
        <v>61.033500610335004</v>
      </c>
      <c r="I151" s="642">
        <f t="shared" si="68"/>
        <v>1080</v>
      </c>
      <c r="J151" s="642">
        <f t="shared" si="70"/>
        <v>1400</v>
      </c>
      <c r="K151" s="642">
        <f t="shared" si="69"/>
        <v>9000</v>
      </c>
    </row>
    <row r="152" spans="1:11" ht="16.5" thickBot="1" x14ac:dyDescent="0.3">
      <c r="A152" s="188">
        <v>11</v>
      </c>
      <c r="B152" s="189" t="s">
        <v>43</v>
      </c>
      <c r="C152" s="225" t="s">
        <v>28</v>
      </c>
      <c r="D152" s="226">
        <v>10</v>
      </c>
      <c r="E152" s="225">
        <v>3</v>
      </c>
      <c r="F152" s="227">
        <v>3000</v>
      </c>
      <c r="G152" s="227">
        <f t="shared" si="66"/>
        <v>90000</v>
      </c>
      <c r="H152" s="347">
        <f t="shared" si="67"/>
        <v>152.5837515258375</v>
      </c>
      <c r="I152" s="642">
        <f t="shared" si="68"/>
        <v>2700</v>
      </c>
      <c r="J152" s="642">
        <f t="shared" si="70"/>
        <v>3500</v>
      </c>
      <c r="K152" s="642">
        <f t="shared" si="69"/>
        <v>9000</v>
      </c>
    </row>
    <row r="153" spans="1:11" ht="16.5" thickBot="1" x14ac:dyDescent="0.3">
      <c r="A153" s="188">
        <v>12</v>
      </c>
      <c r="B153" s="189" t="s">
        <v>757</v>
      </c>
      <c r="C153" s="225" t="s">
        <v>28</v>
      </c>
      <c r="D153" s="226">
        <v>10</v>
      </c>
      <c r="E153" s="225">
        <v>3</v>
      </c>
      <c r="F153" s="227">
        <v>3000</v>
      </c>
      <c r="G153" s="227">
        <f t="shared" si="66"/>
        <v>90000</v>
      </c>
      <c r="H153" s="347">
        <f t="shared" si="67"/>
        <v>152.5837515258375</v>
      </c>
      <c r="I153" s="642">
        <f t="shared" si="68"/>
        <v>2700</v>
      </c>
      <c r="J153" s="642">
        <f t="shared" si="70"/>
        <v>3500</v>
      </c>
      <c r="K153" s="642">
        <f t="shared" si="69"/>
        <v>9000</v>
      </c>
    </row>
    <row r="154" spans="1:11" ht="16.5" thickBot="1" x14ac:dyDescent="0.3">
      <c r="A154" s="188">
        <v>13</v>
      </c>
      <c r="B154" s="189" t="s">
        <v>44</v>
      </c>
      <c r="C154" s="225" t="s">
        <v>28</v>
      </c>
      <c r="D154" s="226">
        <f>SUM(D142:D153)</f>
        <v>172</v>
      </c>
      <c r="E154" s="225">
        <v>3</v>
      </c>
      <c r="F154" s="227">
        <v>3000</v>
      </c>
      <c r="G154" s="227">
        <f t="shared" si="66"/>
        <v>1548000</v>
      </c>
      <c r="H154" s="347">
        <f t="shared" si="67"/>
        <v>2624.4405262444052</v>
      </c>
      <c r="I154" s="642">
        <f t="shared" si="68"/>
        <v>46440</v>
      </c>
      <c r="J154" s="642">
        <f t="shared" si="70"/>
        <v>60200</v>
      </c>
      <c r="K154" s="642">
        <f t="shared" si="69"/>
        <v>9000</v>
      </c>
    </row>
    <row r="155" spans="1:11" ht="18.75" thickBot="1" x14ac:dyDescent="0.3">
      <c r="A155" s="341"/>
      <c r="B155" s="342" t="s">
        <v>1399</v>
      </c>
      <c r="C155" s="343"/>
      <c r="D155" s="343"/>
      <c r="E155" s="343"/>
      <c r="F155" s="344"/>
      <c r="G155" s="344">
        <f>SUM(G142:G154)</f>
        <v>3096000</v>
      </c>
      <c r="H155" s="345">
        <f>SUM(H142:H154)</f>
        <v>5248.8810524888104</v>
      </c>
      <c r="I155" s="263">
        <f>SUM(I142:I154)</f>
        <v>92880</v>
      </c>
      <c r="J155" s="263">
        <f>SUM(J142:J154)</f>
        <v>120400</v>
      </c>
      <c r="K155" s="642"/>
    </row>
    <row r="156" spans="1:11" ht="18.75" thickBot="1" x14ac:dyDescent="0.3">
      <c r="A156" s="205"/>
      <c r="B156" s="205" t="s">
        <v>402</v>
      </c>
      <c r="C156" s="205"/>
      <c r="D156" s="205"/>
      <c r="E156" s="205"/>
      <c r="F156" s="205"/>
      <c r="G156" s="205"/>
      <c r="H156" s="205"/>
      <c r="I156" s="642"/>
      <c r="J156" s="642"/>
      <c r="K156" s="642"/>
    </row>
    <row r="157" spans="1:11" ht="16.5" thickBot="1" x14ac:dyDescent="0.3">
      <c r="A157" s="188">
        <v>1</v>
      </c>
      <c r="B157" s="189" t="s">
        <v>824</v>
      </c>
      <c r="C157" s="225" t="s">
        <v>28</v>
      </c>
      <c r="D157" s="226">
        <v>5</v>
      </c>
      <c r="E157" s="225">
        <v>1</v>
      </c>
      <c r="F157" s="227">
        <v>2500</v>
      </c>
      <c r="G157" s="227">
        <f t="shared" ref="G157:G168" si="71">D157*E157*F157</f>
        <v>12500</v>
      </c>
      <c r="H157" s="347">
        <f t="shared" ref="H157:H168" si="72">G157/589.84</f>
        <v>21.192187711921875</v>
      </c>
      <c r="I157" s="642">
        <f t="shared" si="68"/>
        <v>375</v>
      </c>
      <c r="J157" s="642">
        <f>125*D157</f>
        <v>625</v>
      </c>
      <c r="K157" s="642">
        <f t="shared" si="69"/>
        <v>2500</v>
      </c>
    </row>
    <row r="158" spans="1:11" ht="16.5" thickBot="1" x14ac:dyDescent="0.3">
      <c r="A158" s="188">
        <v>2</v>
      </c>
      <c r="B158" s="189" t="s">
        <v>828</v>
      </c>
      <c r="C158" s="225" t="s">
        <v>28</v>
      </c>
      <c r="D158" s="226">
        <v>15</v>
      </c>
      <c r="E158" s="225">
        <v>1</v>
      </c>
      <c r="F158" s="227">
        <v>2500</v>
      </c>
      <c r="G158" s="227">
        <f t="shared" si="71"/>
        <v>37500</v>
      </c>
      <c r="H158" s="347">
        <f t="shared" si="72"/>
        <v>63.576563135765625</v>
      </c>
      <c r="I158" s="642">
        <f t="shared" si="68"/>
        <v>1125</v>
      </c>
      <c r="J158" s="642">
        <f t="shared" ref="J158:J166" si="73">125*D158</f>
        <v>1875</v>
      </c>
      <c r="K158" s="642">
        <f t="shared" si="69"/>
        <v>2500</v>
      </c>
    </row>
    <row r="159" spans="1:11" ht="16.5" thickBot="1" x14ac:dyDescent="0.3">
      <c r="A159" s="188">
        <v>3</v>
      </c>
      <c r="B159" s="189" t="s">
        <v>832</v>
      </c>
      <c r="C159" s="225" t="s">
        <v>28</v>
      </c>
      <c r="D159" s="226">
        <v>4</v>
      </c>
      <c r="E159" s="225">
        <v>1</v>
      </c>
      <c r="F159" s="227">
        <v>2500</v>
      </c>
      <c r="G159" s="227">
        <f t="shared" si="71"/>
        <v>10000</v>
      </c>
      <c r="H159" s="347">
        <f t="shared" si="72"/>
        <v>16.9537501695375</v>
      </c>
      <c r="I159" s="642">
        <f t="shared" si="68"/>
        <v>300</v>
      </c>
      <c r="J159" s="642">
        <f t="shared" si="73"/>
        <v>500</v>
      </c>
      <c r="K159" s="642">
        <f t="shared" si="69"/>
        <v>2500</v>
      </c>
    </row>
    <row r="160" spans="1:11" ht="16.5" thickBot="1" x14ac:dyDescent="0.3">
      <c r="A160" s="188">
        <v>4</v>
      </c>
      <c r="B160" s="189" t="s">
        <v>836</v>
      </c>
      <c r="C160" s="225" t="s">
        <v>28</v>
      </c>
      <c r="D160" s="226">
        <v>4</v>
      </c>
      <c r="E160" s="225">
        <v>1</v>
      </c>
      <c r="F160" s="227">
        <v>2500</v>
      </c>
      <c r="G160" s="227">
        <f t="shared" si="71"/>
        <v>10000</v>
      </c>
      <c r="H160" s="347">
        <f t="shared" si="72"/>
        <v>16.9537501695375</v>
      </c>
      <c r="I160" s="642">
        <f t="shared" si="68"/>
        <v>300</v>
      </c>
      <c r="J160" s="642">
        <f t="shared" si="73"/>
        <v>500</v>
      </c>
      <c r="K160" s="642">
        <f t="shared" si="69"/>
        <v>2500</v>
      </c>
    </row>
    <row r="161" spans="1:11" ht="16.5" thickBot="1" x14ac:dyDescent="0.3">
      <c r="A161" s="188">
        <v>5</v>
      </c>
      <c r="B161" s="189" t="s">
        <v>839</v>
      </c>
      <c r="C161" s="225" t="s">
        <v>28</v>
      </c>
      <c r="D161" s="226">
        <v>6</v>
      </c>
      <c r="E161" s="225">
        <v>1</v>
      </c>
      <c r="F161" s="227">
        <v>2500</v>
      </c>
      <c r="G161" s="227">
        <f t="shared" si="71"/>
        <v>15000</v>
      </c>
      <c r="H161" s="347">
        <f t="shared" si="72"/>
        <v>25.43062525430625</v>
      </c>
      <c r="I161" s="642">
        <f t="shared" si="68"/>
        <v>450</v>
      </c>
      <c r="J161" s="642">
        <f t="shared" si="73"/>
        <v>750</v>
      </c>
      <c r="K161" s="642">
        <f t="shared" si="69"/>
        <v>2500</v>
      </c>
    </row>
    <row r="162" spans="1:11" ht="16.5" thickBot="1" x14ac:dyDescent="0.3">
      <c r="A162" s="188">
        <v>6</v>
      </c>
      <c r="B162" s="189" t="s">
        <v>847</v>
      </c>
      <c r="C162" s="225" t="s">
        <v>28</v>
      </c>
      <c r="D162" s="226">
        <v>15</v>
      </c>
      <c r="E162" s="225">
        <v>1</v>
      </c>
      <c r="F162" s="227">
        <v>2500</v>
      </c>
      <c r="G162" s="227">
        <f t="shared" si="71"/>
        <v>37500</v>
      </c>
      <c r="H162" s="347">
        <f t="shared" si="72"/>
        <v>63.576563135765625</v>
      </c>
      <c r="I162" s="642">
        <f t="shared" si="68"/>
        <v>1125</v>
      </c>
      <c r="J162" s="642">
        <f t="shared" si="73"/>
        <v>1875</v>
      </c>
      <c r="K162" s="642">
        <f t="shared" si="69"/>
        <v>2500</v>
      </c>
    </row>
    <row r="163" spans="1:11" ht="16.5" thickBot="1" x14ac:dyDescent="0.3">
      <c r="A163" s="188">
        <v>7</v>
      </c>
      <c r="B163" s="189" t="s">
        <v>843</v>
      </c>
      <c r="C163" s="225" t="s">
        <v>28</v>
      </c>
      <c r="D163" s="226">
        <v>3</v>
      </c>
      <c r="E163" s="225">
        <v>1</v>
      </c>
      <c r="F163" s="227">
        <v>2500</v>
      </c>
      <c r="G163" s="227">
        <f t="shared" si="71"/>
        <v>7500</v>
      </c>
      <c r="H163" s="347">
        <f t="shared" si="72"/>
        <v>12.715312627153125</v>
      </c>
      <c r="I163" s="642">
        <f t="shared" si="68"/>
        <v>225</v>
      </c>
      <c r="J163" s="642">
        <f t="shared" si="73"/>
        <v>375</v>
      </c>
      <c r="K163" s="642">
        <f t="shared" si="69"/>
        <v>2500</v>
      </c>
    </row>
    <row r="164" spans="1:11" ht="16.5" thickBot="1" x14ac:dyDescent="0.3">
      <c r="A164" s="188">
        <v>8</v>
      </c>
      <c r="B164" s="189" t="s">
        <v>851</v>
      </c>
      <c r="C164" s="225" t="s">
        <v>28</v>
      </c>
      <c r="D164" s="226">
        <v>14</v>
      </c>
      <c r="E164" s="225">
        <v>1</v>
      </c>
      <c r="F164" s="227">
        <v>2500</v>
      </c>
      <c r="G164" s="227">
        <f t="shared" si="71"/>
        <v>35000</v>
      </c>
      <c r="H164" s="347">
        <f t="shared" si="72"/>
        <v>59.33812559338125</v>
      </c>
      <c r="I164" s="642">
        <f t="shared" ref="I164:I168" si="74">G164*0.03</f>
        <v>1050</v>
      </c>
      <c r="J164" s="642">
        <f t="shared" si="73"/>
        <v>1750</v>
      </c>
      <c r="K164" s="642">
        <f t="shared" ref="K164:K168" si="75">G164/D164</f>
        <v>2500</v>
      </c>
    </row>
    <row r="165" spans="1:11" ht="16.5" thickBot="1" x14ac:dyDescent="0.3">
      <c r="A165" s="188">
        <v>9</v>
      </c>
      <c r="B165" s="189" t="s">
        <v>855</v>
      </c>
      <c r="C165" s="225" t="s">
        <v>28</v>
      </c>
      <c r="D165" s="226">
        <v>8</v>
      </c>
      <c r="E165" s="225">
        <v>1</v>
      </c>
      <c r="F165" s="227">
        <v>2500</v>
      </c>
      <c r="G165" s="227">
        <f t="shared" si="71"/>
        <v>20000</v>
      </c>
      <c r="H165" s="347">
        <f t="shared" si="72"/>
        <v>33.907500339075</v>
      </c>
      <c r="I165" s="642">
        <f t="shared" si="74"/>
        <v>600</v>
      </c>
      <c r="J165" s="642">
        <f t="shared" si="73"/>
        <v>1000</v>
      </c>
      <c r="K165" s="642">
        <f t="shared" si="75"/>
        <v>2500</v>
      </c>
    </row>
    <row r="166" spans="1:11" ht="16.5" thickBot="1" x14ac:dyDescent="0.3">
      <c r="A166" s="188">
        <v>10</v>
      </c>
      <c r="B166" s="189" t="s">
        <v>859</v>
      </c>
      <c r="C166" s="225" t="s">
        <v>28</v>
      </c>
      <c r="D166" s="226">
        <v>2</v>
      </c>
      <c r="E166" s="225">
        <v>1</v>
      </c>
      <c r="F166" s="227">
        <v>2500</v>
      </c>
      <c r="G166" s="227">
        <f t="shared" si="71"/>
        <v>5000</v>
      </c>
      <c r="H166" s="347">
        <f t="shared" si="72"/>
        <v>8.47687508476875</v>
      </c>
      <c r="I166" s="642">
        <f t="shared" si="74"/>
        <v>150</v>
      </c>
      <c r="J166" s="642">
        <f t="shared" si="73"/>
        <v>250</v>
      </c>
      <c r="K166" s="642">
        <f t="shared" si="75"/>
        <v>2500</v>
      </c>
    </row>
    <row r="167" spans="1:11" ht="16.5" thickBot="1" x14ac:dyDescent="0.3">
      <c r="A167" s="188">
        <v>11</v>
      </c>
      <c r="B167" s="189" t="s">
        <v>43</v>
      </c>
      <c r="C167" s="225" t="s">
        <v>28</v>
      </c>
      <c r="D167" s="226">
        <v>10</v>
      </c>
      <c r="E167" s="225">
        <v>1</v>
      </c>
      <c r="F167" s="227">
        <v>3000</v>
      </c>
      <c r="G167" s="227">
        <f t="shared" si="71"/>
        <v>30000</v>
      </c>
      <c r="H167" s="347">
        <f t="shared" si="72"/>
        <v>50.8612505086125</v>
      </c>
      <c r="I167" s="642">
        <f t="shared" si="74"/>
        <v>900</v>
      </c>
      <c r="J167" s="642">
        <f>250*D167</f>
        <v>2500</v>
      </c>
      <c r="K167" s="642">
        <f t="shared" si="75"/>
        <v>3000</v>
      </c>
    </row>
    <row r="168" spans="1:11" ht="16.5" thickBot="1" x14ac:dyDescent="0.3">
      <c r="A168" s="188">
        <v>12</v>
      </c>
      <c r="B168" s="189" t="s">
        <v>48</v>
      </c>
      <c r="C168" s="225" t="s">
        <v>28</v>
      </c>
      <c r="D168" s="226">
        <f>SUM(D157:D167)</f>
        <v>86</v>
      </c>
      <c r="E168" s="230">
        <v>1</v>
      </c>
      <c r="F168" s="227">
        <v>2500</v>
      </c>
      <c r="G168" s="227">
        <f t="shared" si="71"/>
        <v>215000</v>
      </c>
      <c r="H168" s="347">
        <f t="shared" si="72"/>
        <v>364.50562864505628</v>
      </c>
      <c r="I168" s="642">
        <f t="shared" si="74"/>
        <v>6450</v>
      </c>
      <c r="J168" s="642">
        <f>125*D168</f>
        <v>10750</v>
      </c>
      <c r="K168" s="642">
        <f t="shared" si="75"/>
        <v>2500</v>
      </c>
    </row>
    <row r="169" spans="1:11" ht="18.75" thickBot="1" x14ac:dyDescent="0.3">
      <c r="A169" s="341"/>
      <c r="B169" s="342" t="s">
        <v>1399</v>
      </c>
      <c r="C169" s="343"/>
      <c r="D169" s="343"/>
      <c r="E169" s="343"/>
      <c r="F169" s="344"/>
      <c r="G169" s="344">
        <f>SUM(G157:G168)</f>
        <v>435000</v>
      </c>
      <c r="H169" s="345">
        <f>SUM(H157:H168)</f>
        <v>737.48813237488116</v>
      </c>
      <c r="I169" s="263">
        <f>SUM(I157:I168)</f>
        <v>13050</v>
      </c>
      <c r="J169" s="263">
        <f>SUM(J157:J168)</f>
        <v>22750</v>
      </c>
    </row>
    <row r="170" spans="1:11" ht="19.149999999999999" customHeight="1" thickBot="1" x14ac:dyDescent="0.3">
      <c r="A170" s="780" t="s">
        <v>523</v>
      </c>
      <c r="B170" s="781"/>
      <c r="C170" s="781"/>
      <c r="D170" s="781"/>
      <c r="E170" s="783"/>
      <c r="F170" s="348"/>
      <c r="G170" s="349"/>
      <c r="H170" s="350"/>
    </row>
    <row r="171" spans="1:11" ht="18.75" thickBot="1" x14ac:dyDescent="0.3">
      <c r="A171" s="205"/>
      <c r="B171" s="205" t="s">
        <v>403</v>
      </c>
      <c r="C171" s="205"/>
      <c r="D171" s="205"/>
      <c r="E171" s="205"/>
      <c r="F171" s="205"/>
      <c r="G171" s="205"/>
      <c r="H171" s="205"/>
    </row>
    <row r="172" spans="1:11" ht="16.5" thickBot="1" x14ac:dyDescent="0.3">
      <c r="A172" s="188">
        <v>1</v>
      </c>
      <c r="B172" s="189" t="s">
        <v>878</v>
      </c>
      <c r="C172" s="225" t="s">
        <v>28</v>
      </c>
      <c r="D172" s="226">
        <v>1</v>
      </c>
      <c r="E172" s="225">
        <v>1</v>
      </c>
      <c r="F172" s="227">
        <v>8000</v>
      </c>
      <c r="G172" s="227">
        <f t="shared" ref="G172:G191" si="76">D172*E172*F172</f>
        <v>8000</v>
      </c>
      <c r="H172" s="347">
        <f t="shared" ref="H172:H191" si="77">G172/589.84</f>
        <v>13.56300013563</v>
      </c>
      <c r="I172" s="642">
        <f t="shared" ref="I172:I188" si="78">G172*0.03</f>
        <v>240</v>
      </c>
      <c r="J172" s="642">
        <f>350*D172</f>
        <v>350</v>
      </c>
      <c r="K172" s="642">
        <f t="shared" ref="K172:K188" si="79">G172/D172</f>
        <v>8000</v>
      </c>
    </row>
    <row r="173" spans="1:11" ht="16.5" thickBot="1" x14ac:dyDescent="0.3">
      <c r="A173" s="188">
        <v>2</v>
      </c>
      <c r="B173" s="189" t="s">
        <v>869</v>
      </c>
      <c r="C173" s="225" t="s">
        <v>28</v>
      </c>
      <c r="D173" s="226">
        <v>1</v>
      </c>
      <c r="E173" s="225">
        <v>1</v>
      </c>
      <c r="F173" s="227">
        <v>8000</v>
      </c>
      <c r="G173" s="227">
        <f t="shared" si="76"/>
        <v>8000</v>
      </c>
      <c r="H173" s="347">
        <f t="shared" si="77"/>
        <v>13.56300013563</v>
      </c>
      <c r="I173" s="642">
        <f t="shared" si="78"/>
        <v>240</v>
      </c>
      <c r="J173" s="642">
        <f t="shared" ref="J173:J181" si="80">350*D173</f>
        <v>350</v>
      </c>
      <c r="K173" s="642">
        <f t="shared" si="79"/>
        <v>8000</v>
      </c>
    </row>
    <row r="174" spans="1:11" ht="16.5" thickBot="1" x14ac:dyDescent="0.3">
      <c r="A174" s="188">
        <v>3</v>
      </c>
      <c r="B174" s="189" t="s">
        <v>870</v>
      </c>
      <c r="C174" s="225" t="s">
        <v>28</v>
      </c>
      <c r="D174" s="226">
        <v>1</v>
      </c>
      <c r="E174" s="225">
        <v>1</v>
      </c>
      <c r="F174" s="227">
        <v>8000</v>
      </c>
      <c r="G174" s="227">
        <f t="shared" si="76"/>
        <v>8000</v>
      </c>
      <c r="H174" s="347">
        <f t="shared" si="77"/>
        <v>13.56300013563</v>
      </c>
      <c r="I174" s="642">
        <f t="shared" si="78"/>
        <v>240</v>
      </c>
      <c r="J174" s="642">
        <f t="shared" si="80"/>
        <v>350</v>
      </c>
      <c r="K174" s="642">
        <f t="shared" si="79"/>
        <v>8000</v>
      </c>
    </row>
    <row r="175" spans="1:11" ht="16.5" thickBot="1" x14ac:dyDescent="0.3">
      <c r="A175" s="188">
        <v>4</v>
      </c>
      <c r="B175" s="189" t="s">
        <v>874</v>
      </c>
      <c r="C175" s="225" t="s">
        <v>28</v>
      </c>
      <c r="D175" s="226">
        <v>1</v>
      </c>
      <c r="E175" s="225">
        <v>1</v>
      </c>
      <c r="F175" s="227">
        <v>8000</v>
      </c>
      <c r="G175" s="227">
        <f t="shared" si="76"/>
        <v>8000</v>
      </c>
      <c r="H175" s="347">
        <f t="shared" si="77"/>
        <v>13.56300013563</v>
      </c>
      <c r="I175" s="642">
        <f t="shared" si="78"/>
        <v>240</v>
      </c>
      <c r="J175" s="642">
        <f t="shared" si="80"/>
        <v>350</v>
      </c>
      <c r="K175" s="642">
        <f t="shared" si="79"/>
        <v>8000</v>
      </c>
    </row>
    <row r="176" spans="1:11" ht="16.5" thickBot="1" x14ac:dyDescent="0.3">
      <c r="A176" s="188">
        <v>5</v>
      </c>
      <c r="B176" s="189" t="s">
        <v>871</v>
      </c>
      <c r="C176" s="225" t="s">
        <v>28</v>
      </c>
      <c r="D176" s="226">
        <v>1</v>
      </c>
      <c r="E176" s="225">
        <v>1</v>
      </c>
      <c r="F176" s="227">
        <v>8000</v>
      </c>
      <c r="G176" s="227">
        <f t="shared" si="76"/>
        <v>8000</v>
      </c>
      <c r="H176" s="347">
        <f t="shared" si="77"/>
        <v>13.56300013563</v>
      </c>
      <c r="I176" s="642">
        <f t="shared" si="78"/>
        <v>240</v>
      </c>
      <c r="J176" s="642">
        <f t="shared" si="80"/>
        <v>350</v>
      </c>
      <c r="K176" s="642">
        <f t="shared" si="79"/>
        <v>8000</v>
      </c>
    </row>
    <row r="177" spans="1:11" ht="16.5" thickBot="1" x14ac:dyDescent="0.3">
      <c r="A177" s="188">
        <v>6</v>
      </c>
      <c r="B177" s="189" t="s">
        <v>877</v>
      </c>
      <c r="C177" s="225" t="s">
        <v>28</v>
      </c>
      <c r="D177" s="226">
        <v>1</v>
      </c>
      <c r="E177" s="225">
        <v>1</v>
      </c>
      <c r="F177" s="227">
        <v>5000</v>
      </c>
      <c r="G177" s="227">
        <f t="shared" si="76"/>
        <v>5000</v>
      </c>
      <c r="H177" s="347">
        <f t="shared" si="77"/>
        <v>8.47687508476875</v>
      </c>
      <c r="I177" s="642">
        <f t="shared" si="78"/>
        <v>150</v>
      </c>
      <c r="J177" s="642">
        <f t="shared" si="80"/>
        <v>350</v>
      </c>
      <c r="K177" s="642">
        <f t="shared" si="79"/>
        <v>5000</v>
      </c>
    </row>
    <row r="178" spans="1:11" ht="16.5" thickBot="1" x14ac:dyDescent="0.3">
      <c r="A178" s="188">
        <v>7</v>
      </c>
      <c r="B178" s="189" t="s">
        <v>872</v>
      </c>
      <c r="C178" s="225" t="s">
        <v>28</v>
      </c>
      <c r="D178" s="226">
        <v>1</v>
      </c>
      <c r="E178" s="225">
        <v>1</v>
      </c>
      <c r="F178" s="227">
        <v>8000</v>
      </c>
      <c r="G178" s="227">
        <f t="shared" si="76"/>
        <v>8000</v>
      </c>
      <c r="H178" s="347">
        <f t="shared" si="77"/>
        <v>13.56300013563</v>
      </c>
      <c r="I178" s="642">
        <f t="shared" si="78"/>
        <v>240</v>
      </c>
      <c r="J178" s="642">
        <f t="shared" si="80"/>
        <v>350</v>
      </c>
      <c r="K178" s="642">
        <f t="shared" si="79"/>
        <v>8000</v>
      </c>
    </row>
    <row r="179" spans="1:11" ht="16.5" thickBot="1" x14ac:dyDescent="0.3">
      <c r="A179" s="188">
        <v>8</v>
      </c>
      <c r="B179" s="189" t="s">
        <v>873</v>
      </c>
      <c r="C179" s="225" t="s">
        <v>28</v>
      </c>
      <c r="D179" s="226">
        <v>1</v>
      </c>
      <c r="E179" s="225">
        <v>1</v>
      </c>
      <c r="F179" s="227">
        <v>8000</v>
      </c>
      <c r="G179" s="227">
        <f t="shared" si="76"/>
        <v>8000</v>
      </c>
      <c r="H179" s="347">
        <f t="shared" si="77"/>
        <v>13.56300013563</v>
      </c>
      <c r="I179" s="642">
        <f t="shared" si="78"/>
        <v>240</v>
      </c>
      <c r="J179" s="642">
        <f t="shared" si="80"/>
        <v>350</v>
      </c>
      <c r="K179" s="642">
        <f t="shared" si="79"/>
        <v>8000</v>
      </c>
    </row>
    <row r="180" spans="1:11" ht="16.5" thickBot="1" x14ac:dyDescent="0.3">
      <c r="A180" s="188">
        <v>9</v>
      </c>
      <c r="B180" s="189" t="s">
        <v>875</v>
      </c>
      <c r="C180" s="225" t="s">
        <v>28</v>
      </c>
      <c r="D180" s="226">
        <v>1</v>
      </c>
      <c r="E180" s="225">
        <v>1</v>
      </c>
      <c r="F180" s="227">
        <v>8000</v>
      </c>
      <c r="G180" s="227">
        <f t="shared" si="76"/>
        <v>8000</v>
      </c>
      <c r="H180" s="347">
        <f t="shared" si="77"/>
        <v>13.56300013563</v>
      </c>
      <c r="I180" s="642">
        <f t="shared" si="78"/>
        <v>240</v>
      </c>
      <c r="J180" s="642">
        <f t="shared" si="80"/>
        <v>350</v>
      </c>
      <c r="K180" s="642">
        <f t="shared" si="79"/>
        <v>8000</v>
      </c>
    </row>
    <row r="181" spans="1:11" ht="16.5" thickBot="1" x14ac:dyDescent="0.3">
      <c r="A181" s="188">
        <v>10</v>
      </c>
      <c r="B181" s="189" t="s">
        <v>876</v>
      </c>
      <c r="C181" s="225" t="s">
        <v>28</v>
      </c>
      <c r="D181" s="226">
        <v>1</v>
      </c>
      <c r="E181" s="225">
        <v>1</v>
      </c>
      <c r="F181" s="227">
        <v>8000</v>
      </c>
      <c r="G181" s="227">
        <f t="shared" si="76"/>
        <v>8000</v>
      </c>
      <c r="H181" s="347">
        <f t="shared" si="77"/>
        <v>13.56300013563</v>
      </c>
      <c r="I181" s="642">
        <f t="shared" si="78"/>
        <v>240</v>
      </c>
      <c r="J181" s="642">
        <f t="shared" si="80"/>
        <v>350</v>
      </c>
      <c r="K181" s="642">
        <f t="shared" si="79"/>
        <v>8000</v>
      </c>
    </row>
    <row r="182" spans="1:11" ht="16.5" thickBot="1" x14ac:dyDescent="0.3">
      <c r="A182" s="188">
        <v>15</v>
      </c>
      <c r="B182" s="189" t="s">
        <v>406</v>
      </c>
      <c r="C182" s="225" t="s">
        <v>28</v>
      </c>
      <c r="D182" s="226">
        <v>1</v>
      </c>
      <c r="E182" s="225">
        <v>1</v>
      </c>
      <c r="F182" s="227">
        <v>5000</v>
      </c>
      <c r="G182" s="227">
        <f t="shared" si="76"/>
        <v>5000</v>
      </c>
      <c r="H182" s="347">
        <f t="shared" si="77"/>
        <v>8.47687508476875</v>
      </c>
      <c r="I182" s="642">
        <f t="shared" si="78"/>
        <v>150</v>
      </c>
      <c r="J182" s="642">
        <f>250*D182</f>
        <v>250</v>
      </c>
      <c r="K182" s="642">
        <f t="shared" si="79"/>
        <v>5000</v>
      </c>
    </row>
    <row r="183" spans="1:11" ht="16.5" thickBot="1" x14ac:dyDescent="0.3">
      <c r="A183" s="188">
        <v>16</v>
      </c>
      <c r="B183" s="189" t="s">
        <v>407</v>
      </c>
      <c r="C183" s="225" t="s">
        <v>28</v>
      </c>
      <c r="D183" s="226">
        <v>2</v>
      </c>
      <c r="E183" s="225">
        <v>1</v>
      </c>
      <c r="F183" s="227">
        <v>5000</v>
      </c>
      <c r="G183" s="227">
        <f t="shared" si="76"/>
        <v>10000</v>
      </c>
      <c r="H183" s="347">
        <f t="shared" si="77"/>
        <v>16.9537501695375</v>
      </c>
      <c r="I183" s="642">
        <f t="shared" si="78"/>
        <v>300</v>
      </c>
      <c r="J183" s="642">
        <f t="shared" ref="J183" si="81">250*D183</f>
        <v>500</v>
      </c>
      <c r="K183" s="642">
        <f t="shared" si="79"/>
        <v>5000</v>
      </c>
    </row>
    <row r="184" spans="1:11" ht="16.5" thickBot="1" x14ac:dyDescent="0.3">
      <c r="A184" s="188">
        <v>17</v>
      </c>
      <c r="B184" s="189" t="s">
        <v>408</v>
      </c>
      <c r="C184" s="225" t="s">
        <v>28</v>
      </c>
      <c r="D184" s="226">
        <v>8</v>
      </c>
      <c r="E184" s="225">
        <v>1</v>
      </c>
      <c r="F184" s="227">
        <v>5000</v>
      </c>
      <c r="G184" s="227">
        <f t="shared" si="76"/>
        <v>40000</v>
      </c>
      <c r="H184" s="347">
        <f t="shared" si="77"/>
        <v>67.81500067815</v>
      </c>
      <c r="I184" s="642">
        <f t="shared" si="78"/>
        <v>1200</v>
      </c>
      <c r="J184" s="642">
        <f>250*D184</f>
        <v>2000</v>
      </c>
      <c r="K184" s="642">
        <f t="shared" si="79"/>
        <v>5000</v>
      </c>
    </row>
    <row r="185" spans="1:11" ht="16.5" thickBot="1" x14ac:dyDescent="0.3">
      <c r="A185" s="188">
        <v>18</v>
      </c>
      <c r="B185" s="189" t="s">
        <v>425</v>
      </c>
      <c r="C185" s="225" t="s">
        <v>28</v>
      </c>
      <c r="D185" s="226">
        <v>2</v>
      </c>
      <c r="E185" s="225">
        <v>1</v>
      </c>
      <c r="F185" s="227">
        <v>0</v>
      </c>
      <c r="G185" s="227">
        <f t="shared" si="76"/>
        <v>0</v>
      </c>
      <c r="H185" s="347">
        <f t="shared" si="77"/>
        <v>0</v>
      </c>
      <c r="I185" s="642">
        <f t="shared" si="78"/>
        <v>0</v>
      </c>
      <c r="J185" s="642">
        <v>0</v>
      </c>
      <c r="K185" s="642">
        <f t="shared" si="79"/>
        <v>0</v>
      </c>
    </row>
    <row r="186" spans="1:11" ht="16.5" thickBot="1" x14ac:dyDescent="0.3">
      <c r="A186" s="188">
        <v>19</v>
      </c>
      <c r="B186" s="189" t="s">
        <v>423</v>
      </c>
      <c r="C186" s="225" t="s">
        <v>28</v>
      </c>
      <c r="D186" s="226">
        <v>1</v>
      </c>
      <c r="E186" s="225">
        <v>1</v>
      </c>
      <c r="F186" s="227">
        <v>5000</v>
      </c>
      <c r="G186" s="227">
        <f t="shared" si="76"/>
        <v>5000</v>
      </c>
      <c r="H186" s="347">
        <f t="shared" si="77"/>
        <v>8.47687508476875</v>
      </c>
      <c r="I186" s="642">
        <f t="shared" si="78"/>
        <v>150</v>
      </c>
      <c r="J186" s="642">
        <f>250*D186</f>
        <v>250</v>
      </c>
      <c r="K186" s="642">
        <f t="shared" si="79"/>
        <v>5000</v>
      </c>
    </row>
    <row r="187" spans="1:11" ht="16.5" thickBot="1" x14ac:dyDescent="0.3">
      <c r="A187" s="188">
        <v>20</v>
      </c>
      <c r="B187" s="189" t="s">
        <v>424</v>
      </c>
      <c r="C187" s="225" t="s">
        <v>28</v>
      </c>
      <c r="D187" s="226">
        <v>1</v>
      </c>
      <c r="E187" s="225">
        <v>1</v>
      </c>
      <c r="F187" s="227">
        <v>5000</v>
      </c>
      <c r="G187" s="227">
        <f t="shared" si="76"/>
        <v>5000</v>
      </c>
      <c r="H187" s="347">
        <f t="shared" si="77"/>
        <v>8.47687508476875</v>
      </c>
      <c r="I187" s="642">
        <f t="shared" si="78"/>
        <v>150</v>
      </c>
      <c r="J187" s="642">
        <f t="shared" ref="J187:J188" si="82">250*D187</f>
        <v>250</v>
      </c>
      <c r="K187" s="642">
        <f t="shared" si="79"/>
        <v>5000</v>
      </c>
    </row>
    <row r="188" spans="1:11" ht="16.5" thickBot="1" x14ac:dyDescent="0.3">
      <c r="A188" s="188">
        <v>21</v>
      </c>
      <c r="B188" s="189" t="s">
        <v>409</v>
      </c>
      <c r="C188" s="225" t="s">
        <v>28</v>
      </c>
      <c r="D188" s="226">
        <v>1</v>
      </c>
      <c r="E188" s="225">
        <v>1</v>
      </c>
      <c r="F188" s="227">
        <v>3000</v>
      </c>
      <c r="G188" s="227">
        <f t="shared" si="76"/>
        <v>3000</v>
      </c>
      <c r="H188" s="347">
        <f t="shared" si="77"/>
        <v>5.0861250508612503</v>
      </c>
      <c r="I188" s="642">
        <f t="shared" si="78"/>
        <v>90</v>
      </c>
      <c r="J188" s="642">
        <f t="shared" si="82"/>
        <v>250</v>
      </c>
      <c r="K188" s="642">
        <f t="shared" si="79"/>
        <v>3000</v>
      </c>
    </row>
    <row r="189" spans="1:11" ht="16.5" thickBot="1" x14ac:dyDescent="0.3">
      <c r="A189" s="188">
        <v>22</v>
      </c>
      <c r="B189" s="189" t="s">
        <v>426</v>
      </c>
      <c r="C189" s="225" t="s">
        <v>28</v>
      </c>
      <c r="D189" s="226">
        <f>SUM(D172:D188)</f>
        <v>26</v>
      </c>
      <c r="E189" s="225">
        <v>1</v>
      </c>
      <c r="F189" s="227">
        <v>5000</v>
      </c>
      <c r="G189" s="227">
        <f t="shared" si="76"/>
        <v>130000</v>
      </c>
      <c r="H189" s="347">
        <f t="shared" si="77"/>
        <v>220.3987522039875</v>
      </c>
      <c r="I189" s="642">
        <v>0</v>
      </c>
      <c r="J189" s="642">
        <v>0</v>
      </c>
      <c r="K189" s="642">
        <v>0</v>
      </c>
    </row>
    <row r="190" spans="1:11" ht="16.5" thickBot="1" x14ac:dyDescent="0.3">
      <c r="A190" s="188">
        <v>23</v>
      </c>
      <c r="B190" s="189" t="s">
        <v>410</v>
      </c>
      <c r="C190" s="225" t="s">
        <v>28</v>
      </c>
      <c r="D190" s="226">
        <v>9</v>
      </c>
      <c r="E190" s="225">
        <v>2</v>
      </c>
      <c r="F190" s="227">
        <v>1500</v>
      </c>
      <c r="G190" s="227">
        <f t="shared" si="76"/>
        <v>27000</v>
      </c>
      <c r="H190" s="347">
        <f t="shared" si="77"/>
        <v>45.775125457751251</v>
      </c>
      <c r="I190" s="642">
        <v>0</v>
      </c>
      <c r="J190" s="642">
        <v>0</v>
      </c>
      <c r="K190" s="642">
        <v>0</v>
      </c>
    </row>
    <row r="191" spans="1:11" ht="16.5" thickBot="1" x14ac:dyDescent="0.3">
      <c r="A191" s="370">
        <v>24</v>
      </c>
      <c r="B191" s="189" t="s">
        <v>432</v>
      </c>
      <c r="C191" s="225" t="s">
        <v>30</v>
      </c>
      <c r="D191" s="226">
        <v>20</v>
      </c>
      <c r="E191" s="230">
        <v>1</v>
      </c>
      <c r="F191" s="227">
        <v>800</v>
      </c>
      <c r="G191" s="227">
        <f t="shared" si="76"/>
        <v>16000</v>
      </c>
      <c r="H191" s="375">
        <f t="shared" si="77"/>
        <v>27.126000271260001</v>
      </c>
      <c r="I191" s="642">
        <v>0</v>
      </c>
      <c r="J191" s="642">
        <v>0</v>
      </c>
      <c r="K191" s="642">
        <v>0</v>
      </c>
    </row>
    <row r="192" spans="1:11" ht="19.149999999999999" customHeight="1" thickBot="1" x14ac:dyDescent="0.3">
      <c r="A192" s="780" t="s">
        <v>527</v>
      </c>
      <c r="B192" s="781"/>
      <c r="C192" s="781"/>
      <c r="D192" s="781"/>
      <c r="E192" s="783"/>
      <c r="F192" s="348"/>
      <c r="G192" s="349">
        <f>SUM(G172:G191)</f>
        <v>318000</v>
      </c>
      <c r="H192" s="350">
        <f>SUM(H172:H191)</f>
        <v>539.12925539129253</v>
      </c>
      <c r="I192" s="263">
        <f>SUM(I172:I191)</f>
        <v>4350</v>
      </c>
      <c r="J192" s="263">
        <f>SUM(J172:J191)</f>
        <v>7000</v>
      </c>
    </row>
    <row r="193" spans="1:11" ht="18" x14ac:dyDescent="0.25">
      <c r="A193" s="233"/>
      <c r="B193" s="234" t="s">
        <v>427</v>
      </c>
      <c r="C193" s="234"/>
      <c r="D193" s="234"/>
      <c r="E193" s="234"/>
      <c r="F193" s="234"/>
      <c r="G193" s="234"/>
      <c r="H193" s="234"/>
    </row>
    <row r="194" spans="1:11" ht="18" x14ac:dyDescent="0.25">
      <c r="A194" s="205"/>
      <c r="B194" s="205" t="s">
        <v>433</v>
      </c>
      <c r="C194" s="205"/>
      <c r="D194" s="205"/>
      <c r="E194" s="205"/>
      <c r="F194" s="205"/>
      <c r="G194" s="205"/>
      <c r="H194" s="699"/>
    </row>
    <row r="195" spans="1:11" x14ac:dyDescent="0.25">
      <c r="A195" s="188">
        <v>1</v>
      </c>
      <c r="B195" s="189" t="s">
        <v>1367</v>
      </c>
      <c r="C195" s="225" t="s">
        <v>28</v>
      </c>
      <c r="D195" s="225">
        <v>36</v>
      </c>
      <c r="E195" s="225">
        <v>1</v>
      </c>
      <c r="F195" s="227">
        <f>7500-5000</f>
        <v>2500</v>
      </c>
      <c r="G195" s="549">
        <f t="shared" ref="G195:G208" si="83">D195*E195*F195</f>
        <v>90000</v>
      </c>
      <c r="H195" s="435">
        <f t="shared" ref="H195:H208" si="84">G195/589.84</f>
        <v>152.5837515258375</v>
      </c>
      <c r="I195" s="689">
        <f t="shared" ref="I195:I208" si="85">G195*0.03</f>
        <v>2700</v>
      </c>
      <c r="J195" s="642">
        <f>125*D195</f>
        <v>4500</v>
      </c>
      <c r="K195" s="642">
        <f t="shared" ref="K195:K205" si="86">G195/D195</f>
        <v>2500</v>
      </c>
    </row>
    <row r="196" spans="1:11" x14ac:dyDescent="0.25">
      <c r="A196" s="188">
        <v>2</v>
      </c>
      <c r="B196" s="189" t="s">
        <v>1368</v>
      </c>
      <c r="C196" s="225" t="s">
        <v>28</v>
      </c>
      <c r="D196" s="225">
        <v>61</v>
      </c>
      <c r="E196" s="225">
        <v>1</v>
      </c>
      <c r="F196" s="227">
        <f t="shared" ref="F196:F204" si="87">7500-5000</f>
        <v>2500</v>
      </c>
      <c r="G196" s="549">
        <f t="shared" si="83"/>
        <v>152500</v>
      </c>
      <c r="H196" s="435">
        <f t="shared" si="84"/>
        <v>258.54469008544686</v>
      </c>
      <c r="I196" s="689">
        <f t="shared" si="85"/>
        <v>4575</v>
      </c>
      <c r="J196" s="642">
        <f t="shared" ref="J196:J204" si="88">125*D196</f>
        <v>7625</v>
      </c>
      <c r="K196" s="642">
        <f t="shared" si="86"/>
        <v>2500</v>
      </c>
    </row>
    <row r="197" spans="1:11" x14ac:dyDescent="0.25">
      <c r="A197" s="188">
        <v>3</v>
      </c>
      <c r="B197" s="189" t="s">
        <v>1369</v>
      </c>
      <c r="C197" s="225" t="s">
        <v>28</v>
      </c>
      <c r="D197" s="225">
        <v>35</v>
      </c>
      <c r="E197" s="225">
        <v>1</v>
      </c>
      <c r="F197" s="227">
        <f t="shared" si="87"/>
        <v>2500</v>
      </c>
      <c r="G197" s="549">
        <f t="shared" si="83"/>
        <v>87500</v>
      </c>
      <c r="H197" s="435">
        <f t="shared" si="84"/>
        <v>148.34531398345314</v>
      </c>
      <c r="I197" s="689">
        <f t="shared" si="85"/>
        <v>2625</v>
      </c>
      <c r="J197" s="642">
        <f t="shared" si="88"/>
        <v>4375</v>
      </c>
      <c r="K197" s="642">
        <f t="shared" si="86"/>
        <v>2500</v>
      </c>
    </row>
    <row r="198" spans="1:11" x14ac:dyDescent="0.25">
      <c r="A198" s="188">
        <v>4</v>
      </c>
      <c r="B198" s="189" t="s">
        <v>1370</v>
      </c>
      <c r="C198" s="225" t="s">
        <v>28</v>
      </c>
      <c r="D198" s="225">
        <v>32</v>
      </c>
      <c r="E198" s="225">
        <v>1</v>
      </c>
      <c r="F198" s="227">
        <f t="shared" si="87"/>
        <v>2500</v>
      </c>
      <c r="G198" s="549">
        <f t="shared" si="83"/>
        <v>80000</v>
      </c>
      <c r="H198" s="435">
        <f t="shared" si="84"/>
        <v>135.6300013563</v>
      </c>
      <c r="I198" s="689">
        <f t="shared" si="85"/>
        <v>2400</v>
      </c>
      <c r="J198" s="642">
        <f t="shared" si="88"/>
        <v>4000</v>
      </c>
      <c r="K198" s="642">
        <f t="shared" si="86"/>
        <v>2500</v>
      </c>
    </row>
    <row r="199" spans="1:11" x14ac:dyDescent="0.25">
      <c r="A199" s="188">
        <v>5</v>
      </c>
      <c r="B199" s="189" t="s">
        <v>1371</v>
      </c>
      <c r="C199" s="225" t="s">
        <v>28</v>
      </c>
      <c r="D199" s="225">
        <v>43</v>
      </c>
      <c r="E199" s="225">
        <v>1</v>
      </c>
      <c r="F199" s="227">
        <f t="shared" si="87"/>
        <v>2500</v>
      </c>
      <c r="G199" s="549">
        <f t="shared" si="83"/>
        <v>107500</v>
      </c>
      <c r="H199" s="435">
        <f t="shared" si="84"/>
        <v>182.25281432252814</v>
      </c>
      <c r="I199" s="689">
        <f t="shared" si="85"/>
        <v>3225</v>
      </c>
      <c r="J199" s="642">
        <f t="shared" si="88"/>
        <v>5375</v>
      </c>
      <c r="K199" s="642">
        <f t="shared" si="86"/>
        <v>2500</v>
      </c>
    </row>
    <row r="200" spans="1:11" x14ac:dyDescent="0.25">
      <c r="A200" s="188">
        <v>6</v>
      </c>
      <c r="B200" s="189" t="s">
        <v>1372</v>
      </c>
      <c r="C200" s="225" t="s">
        <v>28</v>
      </c>
      <c r="D200" s="225">
        <v>63</v>
      </c>
      <c r="E200" s="225">
        <v>1</v>
      </c>
      <c r="F200" s="227">
        <f t="shared" si="87"/>
        <v>2500</v>
      </c>
      <c r="G200" s="549">
        <f t="shared" si="83"/>
        <v>157500</v>
      </c>
      <c r="H200" s="435">
        <f t="shared" si="84"/>
        <v>267.02156517021564</v>
      </c>
      <c r="I200" s="689">
        <f t="shared" si="85"/>
        <v>4725</v>
      </c>
      <c r="J200" s="642">
        <f t="shared" si="88"/>
        <v>7875</v>
      </c>
      <c r="K200" s="642">
        <f t="shared" si="86"/>
        <v>2500</v>
      </c>
    </row>
    <row r="201" spans="1:11" x14ac:dyDescent="0.25">
      <c r="A201" s="188">
        <v>7</v>
      </c>
      <c r="B201" s="189" t="s">
        <v>1373</v>
      </c>
      <c r="C201" s="225" t="s">
        <v>28</v>
      </c>
      <c r="D201" s="225">
        <v>30</v>
      </c>
      <c r="E201" s="225">
        <v>1</v>
      </c>
      <c r="F201" s="227">
        <f t="shared" si="87"/>
        <v>2500</v>
      </c>
      <c r="G201" s="549">
        <f t="shared" si="83"/>
        <v>75000</v>
      </c>
      <c r="H201" s="435">
        <f t="shared" si="84"/>
        <v>127.15312627153125</v>
      </c>
      <c r="I201" s="689">
        <f t="shared" si="85"/>
        <v>2250</v>
      </c>
      <c r="J201" s="642">
        <f t="shared" si="88"/>
        <v>3750</v>
      </c>
      <c r="K201" s="642">
        <f t="shared" si="86"/>
        <v>2500</v>
      </c>
    </row>
    <row r="202" spans="1:11" x14ac:dyDescent="0.25">
      <c r="A202" s="188">
        <v>8</v>
      </c>
      <c r="B202" s="189" t="s">
        <v>1374</v>
      </c>
      <c r="C202" s="225" t="s">
        <v>28</v>
      </c>
      <c r="D202" s="225">
        <v>47</v>
      </c>
      <c r="E202" s="225">
        <v>1</v>
      </c>
      <c r="F202" s="227">
        <f t="shared" si="87"/>
        <v>2500</v>
      </c>
      <c r="G202" s="549">
        <f t="shared" si="83"/>
        <v>117500</v>
      </c>
      <c r="H202" s="435">
        <f t="shared" si="84"/>
        <v>199.20656449206564</v>
      </c>
      <c r="I202" s="689">
        <f t="shared" si="85"/>
        <v>3525</v>
      </c>
      <c r="J202" s="642">
        <f t="shared" si="88"/>
        <v>5875</v>
      </c>
      <c r="K202" s="642">
        <f t="shared" si="86"/>
        <v>2500</v>
      </c>
    </row>
    <row r="203" spans="1:11" x14ac:dyDescent="0.25">
      <c r="A203" s="188">
        <v>9</v>
      </c>
      <c r="B203" s="189" t="s">
        <v>1375</v>
      </c>
      <c r="C203" s="225" t="s">
        <v>28</v>
      </c>
      <c r="D203" s="225">
        <v>34</v>
      </c>
      <c r="E203" s="225">
        <v>1</v>
      </c>
      <c r="F203" s="227">
        <f t="shared" si="87"/>
        <v>2500</v>
      </c>
      <c r="G203" s="549">
        <f t="shared" si="83"/>
        <v>85000</v>
      </c>
      <c r="H203" s="435">
        <f t="shared" si="84"/>
        <v>144.10687644106875</v>
      </c>
      <c r="I203" s="689">
        <f t="shared" si="85"/>
        <v>2550</v>
      </c>
      <c r="J203" s="642">
        <f t="shared" si="88"/>
        <v>4250</v>
      </c>
      <c r="K203" s="642">
        <f t="shared" si="86"/>
        <v>2500</v>
      </c>
    </row>
    <row r="204" spans="1:11" x14ac:dyDescent="0.25">
      <c r="A204" s="188">
        <v>10</v>
      </c>
      <c r="B204" s="189" t="s">
        <v>1376</v>
      </c>
      <c r="C204" s="225" t="s">
        <v>28</v>
      </c>
      <c r="D204" s="225">
        <v>14</v>
      </c>
      <c r="E204" s="225">
        <v>1</v>
      </c>
      <c r="F204" s="227">
        <f t="shared" si="87"/>
        <v>2500</v>
      </c>
      <c r="G204" s="549">
        <f t="shared" si="83"/>
        <v>35000</v>
      </c>
      <c r="H204" s="435">
        <f t="shared" si="84"/>
        <v>59.33812559338125</v>
      </c>
      <c r="I204" s="689">
        <f t="shared" si="85"/>
        <v>1050</v>
      </c>
      <c r="J204" s="642">
        <f t="shared" si="88"/>
        <v>1750</v>
      </c>
      <c r="K204" s="642">
        <f t="shared" si="86"/>
        <v>2500</v>
      </c>
    </row>
    <row r="205" spans="1:11" s="34" customFormat="1" x14ac:dyDescent="0.25">
      <c r="A205" s="188">
        <v>11</v>
      </c>
      <c r="B205" s="189" t="s">
        <v>429</v>
      </c>
      <c r="C205" s="225" t="s">
        <v>28</v>
      </c>
      <c r="D205" s="225">
        <v>10</v>
      </c>
      <c r="E205" s="225">
        <v>1</v>
      </c>
      <c r="F205" s="227">
        <v>3000</v>
      </c>
      <c r="G205" s="549">
        <f t="shared" si="83"/>
        <v>30000</v>
      </c>
      <c r="H205" s="435">
        <f t="shared" si="84"/>
        <v>50.8612505086125</v>
      </c>
      <c r="I205" s="689">
        <f t="shared" si="85"/>
        <v>900</v>
      </c>
      <c r="J205" s="642">
        <f>250*D205</f>
        <v>2500</v>
      </c>
      <c r="K205" s="642">
        <f t="shared" si="86"/>
        <v>3000</v>
      </c>
    </row>
    <row r="206" spans="1:11" s="34" customFormat="1" x14ac:dyDescent="0.25">
      <c r="A206" s="188">
        <v>12</v>
      </c>
      <c r="B206" s="189" t="s">
        <v>430</v>
      </c>
      <c r="C206" s="225" t="s">
        <v>28</v>
      </c>
      <c r="D206" s="225">
        <v>0</v>
      </c>
      <c r="E206" s="225">
        <v>2</v>
      </c>
      <c r="F206" s="227">
        <v>25000</v>
      </c>
      <c r="G206" s="549">
        <f t="shared" si="83"/>
        <v>0</v>
      </c>
      <c r="H206" s="435">
        <f t="shared" si="84"/>
        <v>0</v>
      </c>
      <c r="I206" s="689">
        <f t="shared" si="85"/>
        <v>0</v>
      </c>
      <c r="J206" s="642">
        <f t="shared" ref="J206:J208" si="89">350*D206</f>
        <v>0</v>
      </c>
      <c r="K206" s="642">
        <v>0</v>
      </c>
    </row>
    <row r="207" spans="1:11" s="34" customFormat="1" x14ac:dyDescent="0.25">
      <c r="A207" s="188">
        <v>13</v>
      </c>
      <c r="B207" s="189" t="s">
        <v>431</v>
      </c>
      <c r="C207" s="225" t="s">
        <v>30</v>
      </c>
      <c r="D207" s="225">
        <v>0</v>
      </c>
      <c r="E207" s="225">
        <v>1</v>
      </c>
      <c r="F207" s="227">
        <v>850</v>
      </c>
      <c r="G207" s="549">
        <f t="shared" si="83"/>
        <v>0</v>
      </c>
      <c r="H207" s="435">
        <f t="shared" si="84"/>
        <v>0</v>
      </c>
      <c r="I207" s="689">
        <f t="shared" si="85"/>
        <v>0</v>
      </c>
      <c r="J207" s="642">
        <f t="shared" si="89"/>
        <v>0</v>
      </c>
      <c r="K207" s="642">
        <v>0</v>
      </c>
    </row>
    <row r="208" spans="1:11" s="34" customFormat="1" ht="16.5" thickBot="1" x14ac:dyDescent="0.3">
      <c r="A208" s="188">
        <v>14</v>
      </c>
      <c r="B208" s="189" t="s">
        <v>432</v>
      </c>
      <c r="C208" s="225" t="s">
        <v>30</v>
      </c>
      <c r="D208" s="225">
        <v>0</v>
      </c>
      <c r="E208" s="230">
        <v>1</v>
      </c>
      <c r="F208" s="227">
        <v>800</v>
      </c>
      <c r="G208" s="549">
        <f t="shared" si="83"/>
        <v>0</v>
      </c>
      <c r="H208" s="435">
        <f t="shared" si="84"/>
        <v>0</v>
      </c>
      <c r="I208" s="689">
        <f t="shared" si="85"/>
        <v>0</v>
      </c>
      <c r="J208" s="642">
        <f t="shared" si="89"/>
        <v>0</v>
      </c>
      <c r="K208" s="642">
        <v>0</v>
      </c>
    </row>
    <row r="209" spans="1:22" s="34" customFormat="1" ht="18.75" thickBot="1" x14ac:dyDescent="0.3">
      <c r="A209" s="341"/>
      <c r="B209" s="342" t="s">
        <v>1399</v>
      </c>
      <c r="C209" s="343"/>
      <c r="D209" s="343"/>
      <c r="E209" s="343"/>
      <c r="F209" s="344"/>
      <c r="G209" s="344">
        <f>SUM(G195:G208)</f>
        <v>1017500</v>
      </c>
      <c r="H209" s="428">
        <f>SUM(H195:H208)</f>
        <v>1725.0440797504405</v>
      </c>
      <c r="I209" s="263">
        <f>SUM(I195:I208)</f>
        <v>30525</v>
      </c>
      <c r="J209" s="263">
        <f>SUM(J195:J208)</f>
        <v>51875</v>
      </c>
      <c r="K209"/>
    </row>
    <row r="210" spans="1:22" s="48" customFormat="1" ht="18" x14ac:dyDescent="0.25">
      <c r="A210" s="18"/>
      <c r="B210" s="18" t="s">
        <v>1389</v>
      </c>
      <c r="C210" s="18"/>
      <c r="D210" s="18"/>
      <c r="E210" s="18"/>
      <c r="F210" s="18"/>
      <c r="G210" s="18"/>
      <c r="H210" s="416"/>
      <c r="I210"/>
      <c r="J210"/>
      <c r="K210"/>
    </row>
    <row r="211" spans="1:22" s="48" customFormat="1" ht="16.5" thickBot="1" x14ac:dyDescent="0.3">
      <c r="A211" s="411">
        <v>1</v>
      </c>
      <c r="B211" s="413" t="s">
        <v>1388</v>
      </c>
      <c r="C211" s="404" t="s">
        <v>28</v>
      </c>
      <c r="D211" s="403">
        <v>15</v>
      </c>
      <c r="E211" s="404">
        <v>1</v>
      </c>
      <c r="F211" s="405">
        <v>5000</v>
      </c>
      <c r="G211" s="405">
        <f t="shared" ref="G211:G212" si="90">D211*E211*F211</f>
        <v>75000</v>
      </c>
      <c r="H211" s="415">
        <f t="shared" ref="H211:H212" si="91">G211/589.84</f>
        <v>127.15312627153125</v>
      </c>
      <c r="I211" s="689">
        <f t="shared" ref="I211:I212" si="92">G211*0.03</f>
        <v>2250</v>
      </c>
      <c r="J211" s="642">
        <f>250*D211</f>
        <v>3750</v>
      </c>
      <c r="K211" s="642">
        <f t="shared" ref="K211:K212" si="93">G211/D211</f>
        <v>5000</v>
      </c>
    </row>
    <row r="212" spans="1:22" s="48" customFormat="1" ht="16.5" thickBot="1" x14ac:dyDescent="0.3">
      <c r="A212" s="188">
        <v>2</v>
      </c>
      <c r="B212" s="413" t="s">
        <v>1474</v>
      </c>
      <c r="C212" s="404" t="s">
        <v>1475</v>
      </c>
      <c r="D212" s="403">
        <v>2</v>
      </c>
      <c r="E212" s="404">
        <v>1</v>
      </c>
      <c r="F212" s="405">
        <v>50000</v>
      </c>
      <c r="G212" s="405">
        <f t="shared" si="90"/>
        <v>100000</v>
      </c>
      <c r="H212" s="409">
        <f t="shared" si="91"/>
        <v>169.537501695375</v>
      </c>
      <c r="I212" s="689">
        <f t="shared" si="92"/>
        <v>3000</v>
      </c>
      <c r="J212" s="642">
        <f>1050*D212</f>
        <v>2100</v>
      </c>
      <c r="K212" s="642">
        <f t="shared" si="93"/>
        <v>50000</v>
      </c>
    </row>
    <row r="213" spans="1:22" ht="18.75" thickBot="1" x14ac:dyDescent="0.3">
      <c r="A213" s="341"/>
      <c r="B213" s="342" t="s">
        <v>1422</v>
      </c>
      <c r="C213" s="343"/>
      <c r="D213" s="343"/>
      <c r="E213" s="343"/>
      <c r="F213" s="344"/>
      <c r="G213" s="344">
        <f>SUM(G211:G212)</f>
        <v>175000</v>
      </c>
      <c r="H213" s="345">
        <f>SUM(H211:H212)</f>
        <v>296.69062796690628</v>
      </c>
      <c r="I213" s="263">
        <f>SUM(I211:I212)</f>
        <v>5250</v>
      </c>
      <c r="J213" s="263">
        <f>SUM(J211:J212)</f>
        <v>5850</v>
      </c>
    </row>
    <row r="214" spans="1:22" s="48" customFormat="1" ht="15" customHeight="1" thickBot="1" x14ac:dyDescent="0.3">
      <c r="A214" s="418">
        <v>1</v>
      </c>
      <c r="B214" s="414" t="s">
        <v>434</v>
      </c>
      <c r="C214" s="419"/>
      <c r="D214" s="420">
        <v>1</v>
      </c>
      <c r="E214" s="419">
        <v>1</v>
      </c>
      <c r="F214" s="421">
        <v>100000</v>
      </c>
      <c r="G214" s="421">
        <f t="shared" ref="G214" si="94">D214*E214*F214</f>
        <v>100000</v>
      </c>
      <c r="H214" s="409">
        <f t="shared" ref="H214" si="95">G214/589.84</f>
        <v>169.537501695375</v>
      </c>
      <c r="I214" s="689">
        <f t="shared" ref="I214" si="96">G214*0.03</f>
        <v>3000</v>
      </c>
      <c r="J214" s="642">
        <f>1600*D214</f>
        <v>1600</v>
      </c>
      <c r="K214" s="642">
        <f t="shared" ref="K214" si="97">G214/D214</f>
        <v>100000</v>
      </c>
    </row>
    <row r="215" spans="1:22" s="48" customFormat="1" ht="18" x14ac:dyDescent="0.25">
      <c r="A215" s="18"/>
      <c r="B215" s="18" t="s">
        <v>1390</v>
      </c>
      <c r="C215" s="18"/>
      <c r="D215" s="18"/>
      <c r="E215" s="18"/>
      <c r="F215" s="18"/>
      <c r="G215" s="18"/>
      <c r="H215" s="416"/>
      <c r="I215"/>
      <c r="J215"/>
      <c r="K215"/>
    </row>
    <row r="216" spans="1:22" s="48" customFormat="1" x14ac:dyDescent="0.25">
      <c r="A216" s="701">
        <v>1</v>
      </c>
      <c r="B216" s="434" t="s">
        <v>1391</v>
      </c>
      <c r="C216" s="431" t="s">
        <v>17</v>
      </c>
      <c r="D216" s="446">
        <v>200</v>
      </c>
      <c r="E216" s="446">
        <v>1</v>
      </c>
      <c r="F216" s="683">
        <v>800</v>
      </c>
      <c r="G216" s="424">
        <f>+D216*E216*F216</f>
        <v>160000</v>
      </c>
      <c r="H216" s="425">
        <f>+G216/589.84</f>
        <v>271.2600027126</v>
      </c>
      <c r="I216"/>
      <c r="J216"/>
      <c r="K216"/>
    </row>
    <row r="217" spans="1:22" s="48" customFormat="1" x14ac:dyDescent="0.25">
      <c r="A217" s="701">
        <v>2</v>
      </c>
      <c r="B217" s="434" t="s">
        <v>1339</v>
      </c>
      <c r="C217" s="434" t="s">
        <v>28</v>
      </c>
      <c r="D217" s="447">
        <v>1</v>
      </c>
      <c r="E217" s="447">
        <v>1</v>
      </c>
      <c r="F217" s="684">
        <v>8000</v>
      </c>
      <c r="G217" s="25">
        <f t="shared" ref="G217:G218" si="98">+D217*E217*F217</f>
        <v>8000</v>
      </c>
      <c r="H217" s="435">
        <f t="shared" ref="H217:H218" si="99">+G217/589.84</f>
        <v>13.56300013563</v>
      </c>
      <c r="I217" s="689">
        <f t="shared" ref="I217:I218" si="100">G217*0.03</f>
        <v>240</v>
      </c>
      <c r="J217" s="642">
        <f>350*D217</f>
        <v>350</v>
      </c>
      <c r="K217" s="642">
        <f t="shared" ref="K217:K218" si="101">G217/D217</f>
        <v>8000</v>
      </c>
    </row>
    <row r="218" spans="1:22" s="48" customFormat="1" x14ac:dyDescent="0.25">
      <c r="A218" s="701">
        <v>3</v>
      </c>
      <c r="B218" s="434" t="s">
        <v>1394</v>
      </c>
      <c r="C218" s="434" t="s">
        <v>28</v>
      </c>
      <c r="D218" s="447">
        <v>1</v>
      </c>
      <c r="E218" s="447">
        <v>1</v>
      </c>
      <c r="F218" s="684">
        <v>8000</v>
      </c>
      <c r="G218" s="25">
        <f t="shared" si="98"/>
        <v>8000</v>
      </c>
      <c r="H218" s="435">
        <f t="shared" si="99"/>
        <v>13.56300013563</v>
      </c>
      <c r="I218" s="689">
        <f t="shared" si="100"/>
        <v>240</v>
      </c>
      <c r="J218" s="642">
        <f>350*D218</f>
        <v>350</v>
      </c>
      <c r="K218" s="642">
        <f t="shared" si="101"/>
        <v>8000</v>
      </c>
    </row>
    <row r="219" spans="1:22" s="48" customFormat="1" ht="18.75" thickBot="1" x14ac:dyDescent="0.3">
      <c r="A219" s="700"/>
      <c r="B219" s="700" t="s">
        <v>1399</v>
      </c>
      <c r="C219" s="685"/>
      <c r="D219" s="685"/>
      <c r="E219" s="685"/>
      <c r="F219" s="686"/>
      <c r="G219" s="686">
        <f>SUM(G211:G215)</f>
        <v>450000</v>
      </c>
      <c r="H219" s="687">
        <f>SUM(H211:H215)</f>
        <v>762.91875762918755</v>
      </c>
      <c r="I219" s="263">
        <f>SUM(I217:I218)</f>
        <v>480</v>
      </c>
      <c r="J219" s="263">
        <f>SUM(J217:J218)</f>
        <v>700</v>
      </c>
      <c r="K219"/>
    </row>
    <row r="220" spans="1:22" s="48" customFormat="1" ht="19.149999999999999" customHeight="1" thickBot="1" x14ac:dyDescent="0.4">
      <c r="A220" s="799" t="s">
        <v>91</v>
      </c>
      <c r="B220" s="800"/>
      <c r="C220" s="801"/>
      <c r="D220" s="801"/>
      <c r="E220" s="802"/>
      <c r="F220" s="688"/>
      <c r="G220" s="482">
        <f>(G219+G214+G213+G209+G192+G169+G155+G140+G113+G91+G80+G73+G66+G59+G52+G45+G38+G31+G24+G17)</f>
        <v>52989800</v>
      </c>
      <c r="H220" s="445">
        <f>(H219+H214+H213+H209+H192+H169+H155+H140+H113+H91+H80+H73+H66+H59+H52+H45+H38+H31+H24+H17)</f>
        <v>90600.501831005007</v>
      </c>
      <c r="I220" s="482">
        <f>I17+I24+I31+I38+I45+I52+I59+I66+I73+I80+I91+I113+I140+I155+I169+I192+I209+I213+I214+I219</f>
        <v>1389510</v>
      </c>
      <c r="J220" s="482">
        <f>J17+J24+J31+J38+J45+J52+J59+J66+J73+J80+J91+J113+J140+J155+J169+J192+J209+J213+J214+J219</f>
        <v>1077875</v>
      </c>
      <c r="K220"/>
    </row>
    <row r="221" spans="1:22" s="34" customFormat="1" x14ac:dyDescent="0.25">
      <c r="A221" s="238"/>
      <c r="B221" s="238"/>
      <c r="C221" s="238"/>
      <c r="D221" s="237"/>
      <c r="E221" s="237"/>
      <c r="F221" s="237"/>
      <c r="G221" s="237"/>
      <c r="H221" s="237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</sheetData>
  <mergeCells count="6">
    <mergeCell ref="A220:E220"/>
    <mergeCell ref="A7:F7"/>
    <mergeCell ref="A192:E192"/>
    <mergeCell ref="A170:E170"/>
    <mergeCell ref="A113:E113"/>
    <mergeCell ref="A92:E9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2AF22A"/>
  </sheetPr>
  <dimension ref="A1:BV186"/>
  <sheetViews>
    <sheetView topLeftCell="A57" zoomScaleNormal="100" workbookViewId="0">
      <selection activeCell="D70" sqref="D70"/>
    </sheetView>
  </sheetViews>
  <sheetFormatPr baseColWidth="10" defaultColWidth="10.625" defaultRowHeight="15.75" x14ac:dyDescent="0.25"/>
  <cols>
    <col min="1" max="1" width="18.5" style="48" customWidth="1"/>
    <col min="2" max="2" width="56" style="48" customWidth="1"/>
    <col min="3" max="3" width="22" style="48" customWidth="1"/>
    <col min="4" max="4" width="15.375" style="48" customWidth="1"/>
    <col min="5" max="5" width="12.375" style="48" customWidth="1"/>
    <col min="6" max="6" width="17" style="48" customWidth="1"/>
    <col min="7" max="7" width="25.5" style="48" customWidth="1"/>
    <col min="8" max="8" width="21.625" customWidth="1"/>
    <col min="9" max="10" width="21.5" customWidth="1"/>
    <col min="11" max="11" width="17" customWidth="1"/>
    <col min="12" max="244" width="8.875" customWidth="1"/>
  </cols>
  <sheetData>
    <row r="1" spans="1:15" x14ac:dyDescent="0.25">
      <c r="A1" s="207" t="s">
        <v>1344</v>
      </c>
      <c r="B1" s="207"/>
      <c r="C1" s="207"/>
      <c r="D1" s="207"/>
      <c r="E1" s="207"/>
      <c r="F1" s="207"/>
      <c r="G1" s="207"/>
      <c r="H1" s="207"/>
      <c r="I1" s="208"/>
      <c r="J1" s="208"/>
      <c r="K1" s="208"/>
      <c r="L1" s="208"/>
      <c r="M1" s="208"/>
      <c r="N1" s="208"/>
      <c r="O1" s="208"/>
    </row>
    <row r="2" spans="1:15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208"/>
      <c r="J2" s="208"/>
      <c r="K2" s="208"/>
      <c r="L2" s="208"/>
      <c r="M2" s="208"/>
      <c r="N2" s="208"/>
      <c r="O2" s="208"/>
    </row>
    <row r="3" spans="1:15" x14ac:dyDescent="0.25">
      <c r="A3" s="207" t="s">
        <v>1520</v>
      </c>
      <c r="B3" s="207"/>
      <c r="C3" s="207"/>
      <c r="D3" s="207"/>
      <c r="E3" s="207"/>
      <c r="F3" s="207"/>
      <c r="G3" s="207"/>
      <c r="H3" s="207"/>
      <c r="I3" s="208"/>
      <c r="J3" s="208"/>
      <c r="K3" s="208"/>
      <c r="L3" s="208"/>
      <c r="M3" s="208"/>
      <c r="N3" s="208"/>
      <c r="O3" s="208"/>
    </row>
    <row r="4" spans="1:15" ht="16.5" thickBot="1" x14ac:dyDescent="0.3">
      <c r="A4" s="207" t="s">
        <v>1</v>
      </c>
      <c r="B4" s="207"/>
      <c r="C4" s="207"/>
      <c r="D4" s="207"/>
      <c r="E4" s="207"/>
      <c r="F4" s="207"/>
      <c r="G4" s="207"/>
      <c r="H4" s="207"/>
      <c r="I4" s="208"/>
      <c r="J4" s="208"/>
      <c r="K4" s="208"/>
      <c r="L4" s="208"/>
      <c r="M4" s="208"/>
      <c r="N4" s="208"/>
      <c r="O4" s="208"/>
    </row>
    <row r="5" spans="1:15" ht="19.5" thickBot="1" x14ac:dyDescent="0.3">
      <c r="A5" s="207" t="s">
        <v>485</v>
      </c>
      <c r="B5" s="207"/>
      <c r="C5" s="249">
        <f>G171</f>
        <v>22333000</v>
      </c>
      <c r="D5" s="340">
        <f>H171</f>
        <v>37727.180252271806</v>
      </c>
      <c r="E5" s="207"/>
      <c r="F5" s="207"/>
      <c r="G5" s="207"/>
      <c r="H5" s="207"/>
      <c r="I5" s="208"/>
      <c r="J5" s="208"/>
      <c r="K5" s="208"/>
      <c r="L5" s="208"/>
      <c r="M5" s="208"/>
      <c r="N5" s="208"/>
      <c r="O5" s="208"/>
    </row>
    <row r="6" spans="1:15" ht="16.5" thickBot="1" x14ac:dyDescent="0.3">
      <c r="A6" s="207" t="s">
        <v>1539</v>
      </c>
      <c r="B6" s="207"/>
      <c r="C6" s="207"/>
      <c r="D6" s="207"/>
      <c r="E6" s="207"/>
      <c r="F6" s="207"/>
      <c r="G6" s="207"/>
      <c r="H6" s="207"/>
      <c r="I6" s="208"/>
      <c r="J6" s="208"/>
      <c r="K6" s="208"/>
      <c r="L6" s="208"/>
      <c r="M6" s="208"/>
      <c r="N6" s="208"/>
      <c r="O6" s="208"/>
    </row>
    <row r="7" spans="1:15" ht="17.25" customHeight="1" thickBot="1" x14ac:dyDescent="0.3">
      <c r="A7" s="773" t="s">
        <v>3</v>
      </c>
      <c r="B7" s="774"/>
      <c r="C7" s="774"/>
      <c r="D7" s="774"/>
      <c r="E7" s="774"/>
      <c r="F7" s="774"/>
      <c r="G7" s="570"/>
      <c r="H7" s="571"/>
      <c r="I7" s="535" t="s">
        <v>4</v>
      </c>
      <c r="J7" s="534"/>
      <c r="K7" s="535"/>
      <c r="L7" s="535"/>
      <c r="M7" s="535"/>
      <c r="N7" s="536"/>
      <c r="O7" s="775" t="s">
        <v>5</v>
      </c>
    </row>
    <row r="8" spans="1:15" ht="61.5" thickBot="1" x14ac:dyDescent="0.3">
      <c r="A8" s="211" t="s">
        <v>1540</v>
      </c>
      <c r="B8" s="212" t="s">
        <v>1533</v>
      </c>
      <c r="C8" s="212" t="s">
        <v>8</v>
      </c>
      <c r="D8" s="213" t="s">
        <v>9</v>
      </c>
      <c r="E8" s="212" t="s">
        <v>10</v>
      </c>
      <c r="F8" s="213" t="s">
        <v>11</v>
      </c>
      <c r="G8" s="214" t="s">
        <v>12</v>
      </c>
      <c r="H8" s="214" t="s">
        <v>1532</v>
      </c>
      <c r="I8" s="695" t="s">
        <v>1613</v>
      </c>
      <c r="J8" s="696" t="s">
        <v>1624</v>
      </c>
      <c r="K8" s="10"/>
      <c r="L8" s="540" t="s">
        <v>14</v>
      </c>
      <c r="M8" s="540" t="s">
        <v>15</v>
      </c>
      <c r="N8" s="541" t="s">
        <v>16</v>
      </c>
      <c r="O8" s="776"/>
    </row>
    <row r="9" spans="1:15" ht="54.75" thickBot="1" x14ac:dyDescent="0.3">
      <c r="A9" s="14"/>
      <c r="B9" s="206" t="s">
        <v>428</v>
      </c>
      <c r="C9" s="212"/>
      <c r="D9" s="213"/>
      <c r="E9" s="212"/>
      <c r="F9" s="213"/>
      <c r="G9" s="538"/>
      <c r="H9" s="574"/>
      <c r="I9" s="10"/>
      <c r="J9" s="10"/>
      <c r="K9" s="10"/>
      <c r="L9" s="540"/>
      <c r="M9" s="541"/>
      <c r="N9" s="541"/>
      <c r="O9" s="556"/>
    </row>
    <row r="10" spans="1:15" x14ac:dyDescent="0.25">
      <c r="A10" s="186">
        <v>1</v>
      </c>
      <c r="B10" s="187" t="s">
        <v>772</v>
      </c>
      <c r="C10" s="221" t="s">
        <v>28</v>
      </c>
      <c r="D10" s="222">
        <v>6</v>
      </c>
      <c r="E10" s="221">
        <v>10</v>
      </c>
      <c r="F10" s="223">
        <v>7500</v>
      </c>
      <c r="G10" s="223">
        <f t="shared" ref="G10:G15" si="0">D10*E10*F10</f>
        <v>450000</v>
      </c>
      <c r="H10" s="223">
        <f>G10/589.84</f>
        <v>762.91875762918755</v>
      </c>
      <c r="I10" s="689">
        <f>G10*0.03</f>
        <v>13500</v>
      </c>
      <c r="J10" s="642">
        <f>1600*D10</f>
        <v>9600</v>
      </c>
      <c r="K10" s="642">
        <f t="shared" ref="K10:K15" si="1">G10/D10</f>
        <v>75000</v>
      </c>
      <c r="L10" s="522"/>
      <c r="M10" s="522"/>
      <c r="N10" s="522"/>
      <c r="O10" s="556"/>
    </row>
    <row r="11" spans="1:15" x14ac:dyDescent="0.25">
      <c r="A11" s="188">
        <v>2</v>
      </c>
      <c r="B11" s="189" t="s">
        <v>773</v>
      </c>
      <c r="C11" s="225" t="s">
        <v>28</v>
      </c>
      <c r="D11" s="226">
        <v>3</v>
      </c>
      <c r="E11" s="221">
        <v>10</v>
      </c>
      <c r="F11" s="227">
        <v>3000</v>
      </c>
      <c r="G11" s="227">
        <f t="shared" si="0"/>
        <v>90000</v>
      </c>
      <c r="H11" s="227">
        <f>G11/589.84</f>
        <v>152.5837515258375</v>
      </c>
      <c r="I11" s="642">
        <f t="shared" ref="I11:I15" si="2">G11*0.03</f>
        <v>2700</v>
      </c>
      <c r="J11" s="642">
        <f>1050*D11</f>
        <v>3150</v>
      </c>
      <c r="K11" s="642">
        <f t="shared" si="1"/>
        <v>30000</v>
      </c>
      <c r="L11" s="522"/>
      <c r="M11" s="522"/>
      <c r="N11" s="522"/>
      <c r="O11" s="556"/>
    </row>
    <row r="12" spans="1:15" ht="14.25" customHeight="1" x14ac:dyDescent="0.25">
      <c r="A12" s="188">
        <v>3</v>
      </c>
      <c r="B12" s="189" t="s">
        <v>774</v>
      </c>
      <c r="C12" s="225" t="s">
        <v>28</v>
      </c>
      <c r="D12" s="226">
        <v>1</v>
      </c>
      <c r="E12" s="221">
        <v>10</v>
      </c>
      <c r="F12" s="227">
        <v>7500</v>
      </c>
      <c r="G12" s="227">
        <f t="shared" si="0"/>
        <v>75000</v>
      </c>
      <c r="H12" s="227">
        <f t="shared" ref="H12:H50" si="3">G12/589.84</f>
        <v>127.15312627153125</v>
      </c>
      <c r="I12" s="642">
        <f t="shared" si="2"/>
        <v>2250</v>
      </c>
      <c r="J12" s="642">
        <f>1600*D12</f>
        <v>1600</v>
      </c>
      <c r="K12" s="642">
        <f t="shared" si="1"/>
        <v>75000</v>
      </c>
      <c r="L12" s="522"/>
      <c r="M12" s="522"/>
      <c r="N12" s="522"/>
      <c r="O12" s="556"/>
    </row>
    <row r="13" spans="1:15" ht="14.25" customHeight="1" x14ac:dyDescent="0.25">
      <c r="A13" s="188">
        <v>4</v>
      </c>
      <c r="B13" s="189" t="s">
        <v>1365</v>
      </c>
      <c r="C13" s="225" t="s">
        <v>28</v>
      </c>
      <c r="D13" s="226">
        <v>23</v>
      </c>
      <c r="E13" s="221">
        <v>7</v>
      </c>
      <c r="F13" s="227">
        <v>3000</v>
      </c>
      <c r="G13" s="227">
        <f t="shared" si="0"/>
        <v>483000</v>
      </c>
      <c r="H13" s="227">
        <f t="shared" si="3"/>
        <v>818.86613318866125</v>
      </c>
      <c r="I13" s="642">
        <f t="shared" si="2"/>
        <v>14490</v>
      </c>
      <c r="J13" s="642">
        <f>550*D13</f>
        <v>12650</v>
      </c>
      <c r="K13" s="642">
        <f t="shared" si="1"/>
        <v>21000</v>
      </c>
      <c r="L13" s="522"/>
      <c r="M13" s="522"/>
      <c r="N13" s="522"/>
      <c r="O13" s="556"/>
    </row>
    <row r="14" spans="1:15" x14ac:dyDescent="0.25">
      <c r="A14" s="188">
        <v>5</v>
      </c>
      <c r="B14" s="189" t="s">
        <v>1345</v>
      </c>
      <c r="C14" s="225" t="s">
        <v>28</v>
      </c>
      <c r="D14" s="226">
        <v>1</v>
      </c>
      <c r="E14" s="221">
        <v>10</v>
      </c>
      <c r="F14" s="227">
        <v>8000</v>
      </c>
      <c r="G14" s="227">
        <f t="shared" si="0"/>
        <v>80000</v>
      </c>
      <c r="H14" s="227">
        <f t="shared" ref="H14" si="4">G14/589.84</f>
        <v>135.6300013563</v>
      </c>
      <c r="I14" s="642">
        <f t="shared" si="2"/>
        <v>2400</v>
      </c>
      <c r="J14" s="642">
        <f>1600*D14</f>
        <v>1600</v>
      </c>
      <c r="K14" s="642">
        <f t="shared" si="1"/>
        <v>80000</v>
      </c>
      <c r="L14" s="522"/>
      <c r="M14" s="522"/>
      <c r="N14" s="522"/>
      <c r="O14" s="556"/>
    </row>
    <row r="15" spans="1:15" ht="16.5" thickBot="1" x14ac:dyDescent="0.3">
      <c r="A15" s="188">
        <v>6</v>
      </c>
      <c r="B15" s="189" t="s">
        <v>775</v>
      </c>
      <c r="C15" s="225" t="s">
        <v>28</v>
      </c>
      <c r="D15" s="226">
        <v>1</v>
      </c>
      <c r="E15" s="221">
        <v>10</v>
      </c>
      <c r="F15" s="227">
        <v>8000</v>
      </c>
      <c r="G15" s="227">
        <f t="shared" si="0"/>
        <v>80000</v>
      </c>
      <c r="H15" s="227">
        <f t="shared" si="3"/>
        <v>135.6300013563</v>
      </c>
      <c r="I15" s="642">
        <f t="shared" si="2"/>
        <v>2400</v>
      </c>
      <c r="J15" s="642">
        <f>1600*D15</f>
        <v>1600</v>
      </c>
      <c r="K15" s="642">
        <f t="shared" si="1"/>
        <v>80000</v>
      </c>
      <c r="L15" s="522"/>
      <c r="M15" s="522"/>
      <c r="N15" s="522"/>
      <c r="O15" s="556"/>
    </row>
    <row r="16" spans="1:15" ht="18.75" thickBot="1" x14ac:dyDescent="0.3">
      <c r="A16" s="341"/>
      <c r="B16" s="342" t="s">
        <v>1399</v>
      </c>
      <c r="C16" s="343"/>
      <c r="D16" s="343"/>
      <c r="E16" s="343"/>
      <c r="F16" s="344"/>
      <c r="G16" s="344">
        <f>SUM(G10:G15)</f>
        <v>1258000</v>
      </c>
      <c r="H16" s="345">
        <f>SUM(H10:H15)</f>
        <v>2132.7817713278173</v>
      </c>
      <c r="I16" s="263">
        <f>SUM(I10:I15)</f>
        <v>37740</v>
      </c>
      <c r="J16" s="263">
        <f>SUM(J10:J15)</f>
        <v>30200</v>
      </c>
      <c r="K16" s="12"/>
      <c r="L16" s="522"/>
      <c r="M16" s="522"/>
      <c r="N16" s="522"/>
      <c r="O16" s="556"/>
    </row>
    <row r="17" spans="1:15" x14ac:dyDescent="0.25">
      <c r="A17" s="188">
        <v>1</v>
      </c>
      <c r="B17" s="189" t="s">
        <v>776</v>
      </c>
      <c r="C17" s="225" t="s">
        <v>28</v>
      </c>
      <c r="D17" s="226">
        <v>16</v>
      </c>
      <c r="E17" s="221">
        <v>10</v>
      </c>
      <c r="F17" s="227">
        <v>7500</v>
      </c>
      <c r="G17" s="227">
        <f t="shared" ref="G17:G22" si="5">D17*E17*F17</f>
        <v>1200000</v>
      </c>
      <c r="H17" s="227">
        <f t="shared" si="3"/>
        <v>2034.4500203445</v>
      </c>
      <c r="I17" s="689">
        <f t="shared" ref="I17:I22" si="6">G17*0.03</f>
        <v>36000</v>
      </c>
      <c r="J17" s="642">
        <f>1600*D17</f>
        <v>25600</v>
      </c>
      <c r="K17" s="642">
        <f t="shared" ref="K17:K22" si="7">G17/D17</f>
        <v>75000</v>
      </c>
      <c r="L17" s="522"/>
      <c r="M17" s="522"/>
      <c r="N17" s="522"/>
      <c r="O17" s="556"/>
    </row>
    <row r="18" spans="1:15" x14ac:dyDescent="0.25">
      <c r="A18" s="188">
        <v>2</v>
      </c>
      <c r="B18" s="189" t="s">
        <v>777</v>
      </c>
      <c r="C18" s="225" t="s">
        <v>28</v>
      </c>
      <c r="D18" s="226">
        <v>8</v>
      </c>
      <c r="E18" s="221">
        <v>10</v>
      </c>
      <c r="F18" s="227">
        <v>3000</v>
      </c>
      <c r="G18" s="227">
        <f t="shared" si="5"/>
        <v>240000</v>
      </c>
      <c r="H18" s="227">
        <f t="shared" si="3"/>
        <v>406.8900040689</v>
      </c>
      <c r="I18" s="642">
        <f t="shared" si="6"/>
        <v>7200</v>
      </c>
      <c r="J18" s="642">
        <f>1050*D18</f>
        <v>8400</v>
      </c>
      <c r="K18" s="642">
        <f t="shared" si="7"/>
        <v>30000</v>
      </c>
      <c r="L18" s="522"/>
      <c r="M18" s="522"/>
      <c r="N18" s="522"/>
      <c r="O18" s="556"/>
    </row>
    <row r="19" spans="1:15" x14ac:dyDescent="0.25">
      <c r="A19" s="188">
        <v>3</v>
      </c>
      <c r="B19" s="189" t="s">
        <v>778</v>
      </c>
      <c r="C19" s="225" t="s">
        <v>28</v>
      </c>
      <c r="D19" s="226">
        <v>1</v>
      </c>
      <c r="E19" s="221">
        <v>10</v>
      </c>
      <c r="F19" s="227">
        <v>7500</v>
      </c>
      <c r="G19" s="227">
        <f t="shared" si="5"/>
        <v>75000</v>
      </c>
      <c r="H19" s="227">
        <f t="shared" si="3"/>
        <v>127.15312627153125</v>
      </c>
      <c r="I19" s="642">
        <f t="shared" si="6"/>
        <v>2250</v>
      </c>
      <c r="J19" s="642">
        <f>1600*D19</f>
        <v>1600</v>
      </c>
      <c r="K19" s="642">
        <f t="shared" si="7"/>
        <v>75000</v>
      </c>
      <c r="L19" s="522"/>
      <c r="M19" s="522"/>
      <c r="N19" s="522"/>
      <c r="O19" s="556"/>
    </row>
    <row r="20" spans="1:15" x14ac:dyDescent="0.25">
      <c r="A20" s="188">
        <v>4</v>
      </c>
      <c r="B20" s="189" t="s">
        <v>1365</v>
      </c>
      <c r="C20" s="225" t="s">
        <v>28</v>
      </c>
      <c r="D20" s="226">
        <v>54</v>
      </c>
      <c r="E20" s="221">
        <v>7</v>
      </c>
      <c r="F20" s="227">
        <v>3000</v>
      </c>
      <c r="G20" s="227">
        <f t="shared" si="5"/>
        <v>1134000</v>
      </c>
      <c r="H20" s="227">
        <f t="shared" si="3"/>
        <v>1922.5552692255526</v>
      </c>
      <c r="I20" s="642">
        <f t="shared" si="6"/>
        <v>34020</v>
      </c>
      <c r="J20" s="642">
        <f>550*D20</f>
        <v>29700</v>
      </c>
      <c r="K20" s="642">
        <f t="shared" si="7"/>
        <v>21000</v>
      </c>
      <c r="L20" s="522"/>
      <c r="M20" s="522"/>
      <c r="N20" s="522"/>
      <c r="O20" s="556"/>
    </row>
    <row r="21" spans="1:15" x14ac:dyDescent="0.25">
      <c r="A21" s="188">
        <v>5</v>
      </c>
      <c r="B21" s="189" t="s">
        <v>1345</v>
      </c>
      <c r="C21" s="225" t="s">
        <v>28</v>
      </c>
      <c r="D21" s="226">
        <v>1</v>
      </c>
      <c r="E21" s="221">
        <v>10</v>
      </c>
      <c r="F21" s="227">
        <v>8000</v>
      </c>
      <c r="G21" s="227">
        <f t="shared" si="5"/>
        <v>80000</v>
      </c>
      <c r="H21" s="227">
        <f t="shared" ref="H21" si="8">G21/589.84</f>
        <v>135.6300013563</v>
      </c>
      <c r="I21" s="642">
        <f t="shared" si="6"/>
        <v>2400</v>
      </c>
      <c r="J21" s="642">
        <f>1600*D21</f>
        <v>1600</v>
      </c>
      <c r="K21" s="642">
        <f t="shared" si="7"/>
        <v>80000</v>
      </c>
      <c r="L21" s="522"/>
      <c r="M21" s="522"/>
      <c r="N21" s="522"/>
      <c r="O21" s="556"/>
    </row>
    <row r="22" spans="1:15" ht="16.5" thickBot="1" x14ac:dyDescent="0.3">
      <c r="A22" s="188">
        <v>6</v>
      </c>
      <c r="B22" s="189" t="s">
        <v>779</v>
      </c>
      <c r="C22" s="225" t="s">
        <v>28</v>
      </c>
      <c r="D22" s="226">
        <v>2</v>
      </c>
      <c r="E22" s="221">
        <v>10</v>
      </c>
      <c r="F22" s="227">
        <v>8000</v>
      </c>
      <c r="G22" s="227">
        <f t="shared" si="5"/>
        <v>160000</v>
      </c>
      <c r="H22" s="227">
        <f t="shared" si="3"/>
        <v>271.2600027126</v>
      </c>
      <c r="I22" s="642">
        <f t="shared" si="6"/>
        <v>4800</v>
      </c>
      <c r="J22" s="642">
        <f>1600*D22</f>
        <v>3200</v>
      </c>
      <c r="K22" s="642">
        <f t="shared" si="7"/>
        <v>80000</v>
      </c>
      <c r="L22" s="522"/>
      <c r="M22" s="522"/>
      <c r="N22" s="522"/>
      <c r="O22" s="556"/>
    </row>
    <row r="23" spans="1:15" ht="18.75" thickBot="1" x14ac:dyDescent="0.3">
      <c r="A23" s="341"/>
      <c r="B23" s="342" t="s">
        <v>1399</v>
      </c>
      <c r="C23" s="343"/>
      <c r="D23" s="343"/>
      <c r="E23" s="343"/>
      <c r="F23" s="344"/>
      <c r="G23" s="344">
        <f>SUM(G17:G22)</f>
        <v>2889000</v>
      </c>
      <c r="H23" s="345">
        <f>SUM(H17:H22)</f>
        <v>4897.9384239793844</v>
      </c>
      <c r="I23" s="263">
        <f>SUM(I17:I22)</f>
        <v>86670</v>
      </c>
      <c r="J23" s="263">
        <f>SUM(J17:J22)</f>
        <v>70100</v>
      </c>
      <c r="K23" s="12"/>
      <c r="L23" s="522"/>
      <c r="M23" s="522"/>
      <c r="N23" s="522"/>
      <c r="O23" s="556"/>
    </row>
    <row r="24" spans="1:15" x14ac:dyDescent="0.25">
      <c r="A24" s="188">
        <v>1</v>
      </c>
      <c r="B24" s="189" t="s">
        <v>780</v>
      </c>
      <c r="C24" s="225" t="s">
        <v>28</v>
      </c>
      <c r="D24" s="226">
        <v>4</v>
      </c>
      <c r="E24" s="221">
        <v>10</v>
      </c>
      <c r="F24" s="227">
        <v>7500</v>
      </c>
      <c r="G24" s="227">
        <f t="shared" ref="G24:G29" si="9">D24*E24*F24</f>
        <v>300000</v>
      </c>
      <c r="H24" s="227">
        <f t="shared" si="3"/>
        <v>508.612505086125</v>
      </c>
      <c r="I24" s="642">
        <f t="shared" ref="I24:I29" si="10">G24*0.03</f>
        <v>9000</v>
      </c>
      <c r="J24" s="642">
        <f>1600*D24</f>
        <v>6400</v>
      </c>
      <c r="K24" s="642">
        <f t="shared" ref="K24:K29" si="11">G24/D24</f>
        <v>75000</v>
      </c>
      <c r="L24" s="522"/>
      <c r="M24" s="522"/>
      <c r="N24" s="522"/>
      <c r="O24" s="556"/>
    </row>
    <row r="25" spans="1:15" x14ac:dyDescent="0.25">
      <c r="A25" s="188">
        <v>2</v>
      </c>
      <c r="B25" s="189" t="s">
        <v>781</v>
      </c>
      <c r="C25" s="225" t="s">
        <v>28</v>
      </c>
      <c r="D25" s="226">
        <v>2</v>
      </c>
      <c r="E25" s="221">
        <v>10</v>
      </c>
      <c r="F25" s="227">
        <v>3000</v>
      </c>
      <c r="G25" s="227">
        <f t="shared" si="9"/>
        <v>60000</v>
      </c>
      <c r="H25" s="227">
        <f t="shared" si="3"/>
        <v>101.722501017225</v>
      </c>
      <c r="I25" s="642">
        <f t="shared" si="10"/>
        <v>1800</v>
      </c>
      <c r="J25" s="642">
        <f>1050*D25</f>
        <v>2100</v>
      </c>
      <c r="K25" s="642">
        <f t="shared" si="11"/>
        <v>30000</v>
      </c>
      <c r="L25" s="522"/>
      <c r="M25" s="522"/>
      <c r="N25" s="522"/>
      <c r="O25" s="556"/>
    </row>
    <row r="26" spans="1:15" ht="28.5" x14ac:dyDescent="0.25">
      <c r="A26" s="188">
        <v>3</v>
      </c>
      <c r="B26" s="189" t="s">
        <v>782</v>
      </c>
      <c r="C26" s="225" t="s">
        <v>28</v>
      </c>
      <c r="D26" s="226">
        <v>1</v>
      </c>
      <c r="E26" s="221">
        <v>10</v>
      </c>
      <c r="F26" s="227">
        <v>7500</v>
      </c>
      <c r="G26" s="227">
        <f t="shared" si="9"/>
        <v>75000</v>
      </c>
      <c r="H26" s="227">
        <f t="shared" si="3"/>
        <v>127.15312627153125</v>
      </c>
      <c r="I26" s="642">
        <f t="shared" si="10"/>
        <v>2250</v>
      </c>
      <c r="J26" s="642">
        <f>1600*D26</f>
        <v>1600</v>
      </c>
      <c r="K26" s="642">
        <f t="shared" si="11"/>
        <v>75000</v>
      </c>
      <c r="L26" s="522"/>
      <c r="M26" s="522"/>
      <c r="N26" s="522"/>
      <c r="O26" s="556"/>
    </row>
    <row r="27" spans="1:15" x14ac:dyDescent="0.25">
      <c r="A27" s="188">
        <v>4</v>
      </c>
      <c r="B27" s="189" t="s">
        <v>1365</v>
      </c>
      <c r="C27" s="225" t="s">
        <v>28</v>
      </c>
      <c r="D27" s="226">
        <v>14</v>
      </c>
      <c r="E27" s="221">
        <v>7</v>
      </c>
      <c r="F27" s="227">
        <v>3000</v>
      </c>
      <c r="G27" s="227">
        <f t="shared" si="9"/>
        <v>294000</v>
      </c>
      <c r="H27" s="227">
        <f t="shared" si="3"/>
        <v>498.44025498440254</v>
      </c>
      <c r="I27" s="642">
        <f t="shared" si="10"/>
        <v>8820</v>
      </c>
      <c r="J27" s="642">
        <f>550*D27</f>
        <v>7700</v>
      </c>
      <c r="K27" s="642">
        <f t="shared" si="11"/>
        <v>21000</v>
      </c>
      <c r="L27" s="522"/>
      <c r="M27" s="522"/>
      <c r="N27" s="522"/>
      <c r="O27" s="556"/>
    </row>
    <row r="28" spans="1:15" x14ac:dyDescent="0.25">
      <c r="A28" s="188">
        <v>5</v>
      </c>
      <c r="B28" s="189" t="s">
        <v>1345</v>
      </c>
      <c r="C28" s="225" t="s">
        <v>28</v>
      </c>
      <c r="D28" s="226">
        <v>1</v>
      </c>
      <c r="E28" s="221">
        <v>10</v>
      </c>
      <c r="F28" s="227">
        <v>8000</v>
      </c>
      <c r="G28" s="227">
        <f t="shared" si="9"/>
        <v>80000</v>
      </c>
      <c r="H28" s="227">
        <f t="shared" ref="H28" si="12">G28/589.84</f>
        <v>135.6300013563</v>
      </c>
      <c r="I28" s="642">
        <f t="shared" si="10"/>
        <v>2400</v>
      </c>
      <c r="J28" s="642">
        <f>1600*D28</f>
        <v>1600</v>
      </c>
      <c r="K28" s="642">
        <f t="shared" si="11"/>
        <v>80000</v>
      </c>
      <c r="L28" s="522"/>
      <c r="M28" s="522"/>
      <c r="N28" s="522"/>
      <c r="O28" s="556"/>
    </row>
    <row r="29" spans="1:15" ht="16.5" thickBot="1" x14ac:dyDescent="0.3">
      <c r="A29" s="188">
        <v>6</v>
      </c>
      <c r="B29" s="189" t="s">
        <v>783</v>
      </c>
      <c r="C29" s="225" t="s">
        <v>28</v>
      </c>
      <c r="D29" s="226">
        <v>1</v>
      </c>
      <c r="E29" s="221">
        <v>10</v>
      </c>
      <c r="F29" s="227">
        <v>8000</v>
      </c>
      <c r="G29" s="227">
        <f t="shared" si="9"/>
        <v>80000</v>
      </c>
      <c r="H29" s="227">
        <f t="shared" si="3"/>
        <v>135.6300013563</v>
      </c>
      <c r="I29" s="642">
        <f t="shared" si="10"/>
        <v>2400</v>
      </c>
      <c r="J29" s="642">
        <f>1600*D29</f>
        <v>1600</v>
      </c>
      <c r="K29" s="642">
        <f t="shared" si="11"/>
        <v>80000</v>
      </c>
      <c r="L29" s="522"/>
      <c r="M29" s="522"/>
      <c r="N29" s="522"/>
      <c r="O29" s="556"/>
    </row>
    <row r="30" spans="1:15" ht="18.75" thickBot="1" x14ac:dyDescent="0.3">
      <c r="A30" s="341"/>
      <c r="B30" s="342" t="s">
        <v>1399</v>
      </c>
      <c r="C30" s="343"/>
      <c r="D30" s="343"/>
      <c r="E30" s="343"/>
      <c r="F30" s="344"/>
      <c r="G30" s="344">
        <f>SUM(G24:G29)</f>
        <v>889000</v>
      </c>
      <c r="H30" s="345">
        <f>SUM(H24:H29)</f>
        <v>1507.1883900718838</v>
      </c>
      <c r="I30" s="263">
        <f>SUM(I24:I29)</f>
        <v>26670</v>
      </c>
      <c r="J30" s="263">
        <f>SUM(J24:J29)</f>
        <v>21000</v>
      </c>
      <c r="K30" s="12"/>
      <c r="L30" s="522"/>
      <c r="M30" s="522"/>
      <c r="N30" s="522"/>
      <c r="O30" s="556"/>
    </row>
    <row r="31" spans="1:15" x14ac:dyDescent="0.25">
      <c r="A31" s="188">
        <v>1</v>
      </c>
      <c r="B31" s="189" t="s">
        <v>784</v>
      </c>
      <c r="C31" s="225" t="s">
        <v>28</v>
      </c>
      <c r="D31" s="226">
        <v>10</v>
      </c>
      <c r="E31" s="221">
        <v>10</v>
      </c>
      <c r="F31" s="227">
        <v>7500</v>
      </c>
      <c r="G31" s="227">
        <f t="shared" ref="G31:G36" si="13">D31*E31*F31</f>
        <v>750000</v>
      </c>
      <c r="H31" s="227">
        <f t="shared" si="3"/>
        <v>1271.5312627153126</v>
      </c>
      <c r="I31" s="642">
        <f t="shared" ref="I31:I36" si="14">G31*0.03</f>
        <v>22500</v>
      </c>
      <c r="J31" s="642">
        <f>1600*D31</f>
        <v>16000</v>
      </c>
      <c r="K31" s="642">
        <f t="shared" ref="K31:K36" si="15">G31/D31</f>
        <v>75000</v>
      </c>
      <c r="L31" s="522"/>
      <c r="M31" s="522"/>
      <c r="N31" s="522"/>
      <c r="O31" s="556"/>
    </row>
    <row r="32" spans="1:15" x14ac:dyDescent="0.25">
      <c r="A32" s="188">
        <v>2</v>
      </c>
      <c r="B32" s="189" t="s">
        <v>785</v>
      </c>
      <c r="C32" s="225" t="s">
        <v>28</v>
      </c>
      <c r="D32" s="226">
        <v>5</v>
      </c>
      <c r="E32" s="221">
        <v>10</v>
      </c>
      <c r="F32" s="227">
        <v>3000</v>
      </c>
      <c r="G32" s="227">
        <f t="shared" si="13"/>
        <v>150000</v>
      </c>
      <c r="H32" s="227">
        <f t="shared" si="3"/>
        <v>254.3062525430625</v>
      </c>
      <c r="I32" s="642">
        <f t="shared" si="14"/>
        <v>4500</v>
      </c>
      <c r="J32" s="642">
        <f>1050*D32</f>
        <v>5250</v>
      </c>
      <c r="K32" s="642">
        <f t="shared" si="15"/>
        <v>30000</v>
      </c>
      <c r="L32" s="522"/>
      <c r="M32" s="522"/>
      <c r="N32" s="522"/>
      <c r="O32" s="556"/>
    </row>
    <row r="33" spans="1:15" ht="28.5" x14ac:dyDescent="0.25">
      <c r="A33" s="188">
        <v>3</v>
      </c>
      <c r="B33" s="189" t="s">
        <v>786</v>
      </c>
      <c r="C33" s="225" t="s">
        <v>28</v>
      </c>
      <c r="D33" s="226">
        <v>1</v>
      </c>
      <c r="E33" s="221">
        <v>10</v>
      </c>
      <c r="F33" s="227">
        <v>7500</v>
      </c>
      <c r="G33" s="227">
        <f t="shared" si="13"/>
        <v>75000</v>
      </c>
      <c r="H33" s="227">
        <f t="shared" si="3"/>
        <v>127.15312627153125</v>
      </c>
      <c r="I33" s="642">
        <f t="shared" si="14"/>
        <v>2250</v>
      </c>
      <c r="J33" s="642">
        <f>1600*D33</f>
        <v>1600</v>
      </c>
      <c r="K33" s="642">
        <f t="shared" si="15"/>
        <v>75000</v>
      </c>
      <c r="L33" s="522"/>
      <c r="M33" s="522"/>
      <c r="N33" s="522"/>
      <c r="O33" s="556"/>
    </row>
    <row r="34" spans="1:15" x14ac:dyDescent="0.25">
      <c r="A34" s="188">
        <v>4</v>
      </c>
      <c r="B34" s="189" t="s">
        <v>1365</v>
      </c>
      <c r="C34" s="225" t="s">
        <v>28</v>
      </c>
      <c r="D34" s="226">
        <v>26</v>
      </c>
      <c r="E34" s="221">
        <v>7</v>
      </c>
      <c r="F34" s="227">
        <v>3000</v>
      </c>
      <c r="G34" s="227">
        <f t="shared" si="13"/>
        <v>546000</v>
      </c>
      <c r="H34" s="227">
        <f t="shared" si="3"/>
        <v>925.67475925674751</v>
      </c>
      <c r="I34" s="642">
        <f t="shared" si="14"/>
        <v>16380</v>
      </c>
      <c r="J34" s="642">
        <f>550*D34</f>
        <v>14300</v>
      </c>
      <c r="K34" s="642">
        <f t="shared" si="15"/>
        <v>21000</v>
      </c>
      <c r="L34" s="522"/>
      <c r="M34" s="522"/>
      <c r="N34" s="522"/>
      <c r="O34" s="556"/>
    </row>
    <row r="35" spans="1:15" x14ac:dyDescent="0.25">
      <c r="A35" s="188">
        <v>5</v>
      </c>
      <c r="B35" s="189" t="s">
        <v>1345</v>
      </c>
      <c r="C35" s="225" t="s">
        <v>28</v>
      </c>
      <c r="D35" s="226">
        <v>1</v>
      </c>
      <c r="E35" s="221">
        <v>10</v>
      </c>
      <c r="F35" s="227">
        <v>8000</v>
      </c>
      <c r="G35" s="227">
        <f t="shared" si="13"/>
        <v>80000</v>
      </c>
      <c r="H35" s="227">
        <f t="shared" ref="H35" si="16">G35/589.84</f>
        <v>135.6300013563</v>
      </c>
      <c r="I35" s="642">
        <f t="shared" si="14"/>
        <v>2400</v>
      </c>
      <c r="J35" s="642">
        <f>1600*D35</f>
        <v>1600</v>
      </c>
      <c r="K35" s="642">
        <f t="shared" si="15"/>
        <v>80000</v>
      </c>
      <c r="L35" s="522"/>
      <c r="M35" s="522"/>
      <c r="N35" s="522"/>
      <c r="O35" s="556"/>
    </row>
    <row r="36" spans="1:15" ht="16.5" thickBot="1" x14ac:dyDescent="0.3">
      <c r="A36" s="188">
        <v>6</v>
      </c>
      <c r="B36" s="189" t="s">
        <v>787</v>
      </c>
      <c r="C36" s="225" t="s">
        <v>28</v>
      </c>
      <c r="D36" s="226">
        <v>1</v>
      </c>
      <c r="E36" s="221">
        <v>10</v>
      </c>
      <c r="F36" s="227">
        <v>8000</v>
      </c>
      <c r="G36" s="227">
        <f t="shared" si="13"/>
        <v>80000</v>
      </c>
      <c r="H36" s="227">
        <f t="shared" si="3"/>
        <v>135.6300013563</v>
      </c>
      <c r="I36" s="642">
        <f t="shared" si="14"/>
        <v>2400</v>
      </c>
      <c r="J36" s="642">
        <f>1600*D36</f>
        <v>1600</v>
      </c>
      <c r="K36" s="642">
        <f t="shared" si="15"/>
        <v>80000</v>
      </c>
      <c r="L36" s="522"/>
      <c r="M36" s="522"/>
      <c r="N36" s="522"/>
      <c r="O36" s="556"/>
    </row>
    <row r="37" spans="1:15" ht="18.75" thickBot="1" x14ac:dyDescent="0.3">
      <c r="A37" s="341"/>
      <c r="B37" s="342" t="s">
        <v>1399</v>
      </c>
      <c r="C37" s="343"/>
      <c r="D37" s="343"/>
      <c r="E37" s="343"/>
      <c r="F37" s="344"/>
      <c r="G37" s="344">
        <f>SUM(G31:G36)</f>
        <v>1681000</v>
      </c>
      <c r="H37" s="345">
        <f>SUM(H31:H36)</f>
        <v>2849.9254034992537</v>
      </c>
      <c r="I37" s="263">
        <f t="shared" ref="I37" si="17">SUM(I31:I36)</f>
        <v>50430</v>
      </c>
      <c r="J37" s="263">
        <f>SUM(J31:J36)</f>
        <v>40350</v>
      </c>
      <c r="K37" s="12"/>
      <c r="L37" s="522"/>
      <c r="M37" s="522"/>
      <c r="N37" s="522"/>
      <c r="O37" s="556"/>
    </row>
    <row r="38" spans="1:15" x14ac:dyDescent="0.25">
      <c r="A38" s="188">
        <v>1</v>
      </c>
      <c r="B38" s="189" t="s">
        <v>788</v>
      </c>
      <c r="C38" s="225" t="s">
        <v>28</v>
      </c>
      <c r="D38" s="226">
        <v>10</v>
      </c>
      <c r="E38" s="221">
        <v>10</v>
      </c>
      <c r="F38" s="227">
        <v>7500</v>
      </c>
      <c r="G38" s="227">
        <f t="shared" ref="G38:G43" si="18">D38*E38*F38</f>
        <v>750000</v>
      </c>
      <c r="H38" s="227">
        <f t="shared" si="3"/>
        <v>1271.5312627153126</v>
      </c>
      <c r="I38" s="642">
        <f t="shared" ref="I38:I43" si="19">G38*0.03</f>
        <v>22500</v>
      </c>
      <c r="J38" s="642">
        <f>1600*D38</f>
        <v>16000</v>
      </c>
      <c r="K38" s="642">
        <f t="shared" ref="K38:K43" si="20">G38/D38</f>
        <v>75000</v>
      </c>
      <c r="L38" s="522"/>
      <c r="M38" s="522"/>
      <c r="N38" s="522"/>
      <c r="O38" s="556"/>
    </row>
    <row r="39" spans="1:15" x14ac:dyDescent="0.25">
      <c r="A39" s="188">
        <v>2</v>
      </c>
      <c r="B39" s="189" t="s">
        <v>789</v>
      </c>
      <c r="C39" s="225" t="s">
        <v>28</v>
      </c>
      <c r="D39" s="226">
        <v>5</v>
      </c>
      <c r="E39" s="221">
        <v>10</v>
      </c>
      <c r="F39" s="227">
        <v>3000</v>
      </c>
      <c r="G39" s="227">
        <f t="shared" si="18"/>
        <v>150000</v>
      </c>
      <c r="H39" s="227">
        <f t="shared" si="3"/>
        <v>254.3062525430625</v>
      </c>
      <c r="I39" s="642">
        <f t="shared" si="19"/>
        <v>4500</v>
      </c>
      <c r="J39" s="642">
        <f>1050*D39</f>
        <v>5250</v>
      </c>
      <c r="K39" s="642">
        <f t="shared" si="20"/>
        <v>30000</v>
      </c>
      <c r="L39" s="522"/>
      <c r="M39" s="522"/>
      <c r="N39" s="522"/>
      <c r="O39" s="556"/>
    </row>
    <row r="40" spans="1:15" ht="28.5" x14ac:dyDescent="0.25">
      <c r="A40" s="188">
        <v>3</v>
      </c>
      <c r="B40" s="189" t="s">
        <v>790</v>
      </c>
      <c r="C40" s="225" t="s">
        <v>28</v>
      </c>
      <c r="D40" s="226">
        <v>1</v>
      </c>
      <c r="E40" s="221">
        <v>10</v>
      </c>
      <c r="F40" s="227">
        <v>7500</v>
      </c>
      <c r="G40" s="227">
        <f t="shared" si="18"/>
        <v>75000</v>
      </c>
      <c r="H40" s="227">
        <f t="shared" si="3"/>
        <v>127.15312627153125</v>
      </c>
      <c r="I40" s="642">
        <f t="shared" si="19"/>
        <v>2250</v>
      </c>
      <c r="J40" s="642">
        <f>1600*D40</f>
        <v>1600</v>
      </c>
      <c r="K40" s="642">
        <f t="shared" si="20"/>
        <v>75000</v>
      </c>
      <c r="L40" s="522"/>
      <c r="M40" s="522"/>
      <c r="N40" s="522"/>
      <c r="O40" s="556"/>
    </row>
    <row r="41" spans="1:15" x14ac:dyDescent="0.25">
      <c r="A41" s="188">
        <v>4</v>
      </c>
      <c r="B41" s="189" t="s">
        <v>1365</v>
      </c>
      <c r="C41" s="225" t="s">
        <v>28</v>
      </c>
      <c r="D41" s="226">
        <v>24</v>
      </c>
      <c r="E41" s="221">
        <v>7</v>
      </c>
      <c r="F41" s="227">
        <v>3000</v>
      </c>
      <c r="G41" s="227">
        <f t="shared" si="18"/>
        <v>504000</v>
      </c>
      <c r="H41" s="227">
        <f t="shared" si="3"/>
        <v>854.46900854469004</v>
      </c>
      <c r="I41" s="642">
        <f t="shared" si="19"/>
        <v>15120</v>
      </c>
      <c r="J41" s="642">
        <f>550*D41</f>
        <v>13200</v>
      </c>
      <c r="K41" s="642">
        <f t="shared" si="20"/>
        <v>21000</v>
      </c>
      <c r="L41" s="522"/>
      <c r="M41" s="522"/>
      <c r="N41" s="522"/>
      <c r="O41" s="556"/>
    </row>
    <row r="42" spans="1:15" x14ac:dyDescent="0.25">
      <c r="A42" s="188">
        <v>5</v>
      </c>
      <c r="B42" s="189" t="s">
        <v>1345</v>
      </c>
      <c r="C42" s="225" t="s">
        <v>28</v>
      </c>
      <c r="D42" s="226">
        <v>1</v>
      </c>
      <c r="E42" s="221">
        <v>10</v>
      </c>
      <c r="F42" s="227">
        <v>8000</v>
      </c>
      <c r="G42" s="227">
        <f t="shared" si="18"/>
        <v>80000</v>
      </c>
      <c r="H42" s="227">
        <f t="shared" ref="H42" si="21">G42/589.84</f>
        <v>135.6300013563</v>
      </c>
      <c r="I42" s="642">
        <f t="shared" si="19"/>
        <v>2400</v>
      </c>
      <c r="J42" s="642">
        <f>1600*D42</f>
        <v>1600</v>
      </c>
      <c r="K42" s="642">
        <f t="shared" si="20"/>
        <v>80000</v>
      </c>
      <c r="L42" s="522"/>
      <c r="M42" s="522"/>
      <c r="N42" s="522"/>
      <c r="O42" s="556"/>
    </row>
    <row r="43" spans="1:15" ht="16.5" thickBot="1" x14ac:dyDescent="0.3">
      <c r="A43" s="188">
        <v>6</v>
      </c>
      <c r="B43" s="189" t="s">
        <v>791</v>
      </c>
      <c r="C43" s="225" t="s">
        <v>28</v>
      </c>
      <c r="D43" s="226">
        <v>1</v>
      </c>
      <c r="E43" s="221">
        <v>10</v>
      </c>
      <c r="F43" s="227">
        <v>8000</v>
      </c>
      <c r="G43" s="227">
        <f t="shared" si="18"/>
        <v>80000</v>
      </c>
      <c r="H43" s="227">
        <f t="shared" si="3"/>
        <v>135.6300013563</v>
      </c>
      <c r="I43" s="642">
        <f t="shared" si="19"/>
        <v>2400</v>
      </c>
      <c r="J43" s="642">
        <f>1600*D43</f>
        <v>1600</v>
      </c>
      <c r="K43" s="642">
        <f t="shared" si="20"/>
        <v>80000</v>
      </c>
      <c r="L43" s="522"/>
      <c r="M43" s="522"/>
      <c r="N43" s="522"/>
      <c r="O43" s="556"/>
    </row>
    <row r="44" spans="1:15" ht="18.75" thickBot="1" x14ac:dyDescent="0.3">
      <c r="A44" s="341"/>
      <c r="B44" s="342" t="s">
        <v>1399</v>
      </c>
      <c r="C44" s="343"/>
      <c r="D44" s="343"/>
      <c r="E44" s="343"/>
      <c r="F44" s="344"/>
      <c r="G44" s="344">
        <f>SUM(G38:G43)</f>
        <v>1639000</v>
      </c>
      <c r="H44" s="345">
        <f>SUM(H38:H43)</f>
        <v>2778.7196527871965</v>
      </c>
      <c r="I44" s="263">
        <f>SUM(I38:I43)</f>
        <v>49170</v>
      </c>
      <c r="J44" s="263">
        <f>SUM(J38:J43)</f>
        <v>39250</v>
      </c>
      <c r="K44" s="12"/>
      <c r="L44" s="522"/>
      <c r="M44" s="522"/>
      <c r="N44" s="522"/>
      <c r="O44" s="556"/>
    </row>
    <row r="45" spans="1:15" x14ac:dyDescent="0.25">
      <c r="A45" s="188">
        <v>1</v>
      </c>
      <c r="B45" s="189" t="s">
        <v>792</v>
      </c>
      <c r="C45" s="225" t="s">
        <v>28</v>
      </c>
      <c r="D45" s="226">
        <v>8</v>
      </c>
      <c r="E45" s="221">
        <v>10</v>
      </c>
      <c r="F45" s="227">
        <v>7500</v>
      </c>
      <c r="G45" s="227">
        <f t="shared" ref="G45:G50" si="22">D45*E45*F45</f>
        <v>600000</v>
      </c>
      <c r="H45" s="227">
        <f t="shared" si="3"/>
        <v>1017.22501017225</v>
      </c>
      <c r="I45" s="642">
        <f t="shared" ref="I45:I50" si="23">G45*0.03</f>
        <v>18000</v>
      </c>
      <c r="J45" s="642">
        <f>1600*D45</f>
        <v>12800</v>
      </c>
      <c r="K45" s="642">
        <f t="shared" ref="K45:K50" si="24">G45/D45</f>
        <v>75000</v>
      </c>
      <c r="L45" s="522"/>
      <c r="M45" s="522"/>
      <c r="N45" s="522"/>
      <c r="O45" s="556"/>
    </row>
    <row r="46" spans="1:15" x14ac:dyDescent="0.25">
      <c r="A46" s="188">
        <v>2</v>
      </c>
      <c r="B46" s="189" t="s">
        <v>793</v>
      </c>
      <c r="C46" s="225" t="s">
        <v>28</v>
      </c>
      <c r="D46" s="226">
        <v>4</v>
      </c>
      <c r="E46" s="221">
        <v>10</v>
      </c>
      <c r="F46" s="227">
        <v>3000</v>
      </c>
      <c r="G46" s="227">
        <f t="shared" si="22"/>
        <v>120000</v>
      </c>
      <c r="H46" s="227">
        <f t="shared" si="3"/>
        <v>203.44500203445</v>
      </c>
      <c r="I46" s="642">
        <f t="shared" si="23"/>
        <v>3600</v>
      </c>
      <c r="J46" s="642">
        <f>1050*D46</f>
        <v>4200</v>
      </c>
      <c r="K46" s="642">
        <f t="shared" si="24"/>
        <v>30000</v>
      </c>
      <c r="L46" s="522"/>
      <c r="M46" s="522"/>
      <c r="N46" s="522"/>
      <c r="O46" s="556"/>
    </row>
    <row r="47" spans="1:15" x14ac:dyDescent="0.25">
      <c r="A47" s="188">
        <v>3</v>
      </c>
      <c r="B47" s="189" t="s">
        <v>794</v>
      </c>
      <c r="C47" s="225" t="s">
        <v>28</v>
      </c>
      <c r="D47" s="226">
        <v>1</v>
      </c>
      <c r="E47" s="221">
        <v>10</v>
      </c>
      <c r="F47" s="227">
        <v>7500</v>
      </c>
      <c r="G47" s="227">
        <f t="shared" si="22"/>
        <v>75000</v>
      </c>
      <c r="H47" s="227">
        <f t="shared" si="3"/>
        <v>127.15312627153125</v>
      </c>
      <c r="I47" s="642">
        <f t="shared" si="23"/>
        <v>2250</v>
      </c>
      <c r="J47" s="642">
        <f>1600*D47</f>
        <v>1600</v>
      </c>
      <c r="K47" s="642">
        <f t="shared" si="24"/>
        <v>75000</v>
      </c>
      <c r="L47" s="522"/>
      <c r="M47" s="522"/>
      <c r="N47" s="522"/>
      <c r="O47" s="556"/>
    </row>
    <row r="48" spans="1:15" x14ac:dyDescent="0.25">
      <c r="A48" s="188">
        <v>4</v>
      </c>
      <c r="B48" s="189" t="s">
        <v>1365</v>
      </c>
      <c r="C48" s="225" t="s">
        <v>28</v>
      </c>
      <c r="D48" s="226">
        <v>20</v>
      </c>
      <c r="E48" s="221">
        <v>7</v>
      </c>
      <c r="F48" s="227">
        <v>3000</v>
      </c>
      <c r="G48" s="227">
        <f t="shared" si="22"/>
        <v>420000</v>
      </c>
      <c r="H48" s="227">
        <f t="shared" si="3"/>
        <v>712.057507120575</v>
      </c>
      <c r="I48" s="642">
        <f t="shared" si="23"/>
        <v>12600</v>
      </c>
      <c r="J48" s="642">
        <f>550*D48</f>
        <v>11000</v>
      </c>
      <c r="K48" s="642">
        <f t="shared" si="24"/>
        <v>21000</v>
      </c>
      <c r="L48" s="522"/>
      <c r="M48" s="522"/>
      <c r="N48" s="522"/>
      <c r="O48" s="556"/>
    </row>
    <row r="49" spans="1:15" x14ac:dyDescent="0.25">
      <c r="A49" s="188">
        <v>5</v>
      </c>
      <c r="B49" s="189" t="s">
        <v>1345</v>
      </c>
      <c r="C49" s="225" t="s">
        <v>28</v>
      </c>
      <c r="D49" s="226">
        <v>1</v>
      </c>
      <c r="E49" s="221">
        <v>10</v>
      </c>
      <c r="F49" s="227">
        <v>8000</v>
      </c>
      <c r="G49" s="227">
        <f t="shared" si="22"/>
        <v>80000</v>
      </c>
      <c r="H49" s="227"/>
      <c r="I49" s="642">
        <f t="shared" si="23"/>
        <v>2400</v>
      </c>
      <c r="J49" s="642">
        <f>1600*D49</f>
        <v>1600</v>
      </c>
      <c r="K49" s="642">
        <f t="shared" si="24"/>
        <v>80000</v>
      </c>
      <c r="L49" s="522"/>
      <c r="M49" s="522"/>
      <c r="N49" s="522"/>
      <c r="O49" s="556"/>
    </row>
    <row r="50" spans="1:15" ht="16.5" thickBot="1" x14ac:dyDescent="0.3">
      <c r="A50" s="188">
        <v>6</v>
      </c>
      <c r="B50" s="189" t="s">
        <v>795</v>
      </c>
      <c r="C50" s="225" t="s">
        <v>28</v>
      </c>
      <c r="D50" s="226">
        <v>1</v>
      </c>
      <c r="E50" s="221">
        <v>10</v>
      </c>
      <c r="F50" s="227">
        <v>8000</v>
      </c>
      <c r="G50" s="227">
        <f t="shared" si="22"/>
        <v>80000</v>
      </c>
      <c r="H50" s="227">
        <f t="shared" si="3"/>
        <v>135.6300013563</v>
      </c>
      <c r="I50" s="642">
        <f t="shared" si="23"/>
        <v>2400</v>
      </c>
      <c r="J50" s="642">
        <f>1600*D50</f>
        <v>1600</v>
      </c>
      <c r="K50" s="642">
        <f t="shared" si="24"/>
        <v>80000</v>
      </c>
      <c r="L50" s="522"/>
      <c r="M50" s="522"/>
      <c r="N50" s="522"/>
      <c r="O50" s="556"/>
    </row>
    <row r="51" spans="1:15" ht="18.75" thickBot="1" x14ac:dyDescent="0.3">
      <c r="A51" s="341"/>
      <c r="B51" s="342" t="s">
        <v>1399</v>
      </c>
      <c r="C51" s="343"/>
      <c r="D51" s="343"/>
      <c r="E51" s="343"/>
      <c r="F51" s="344"/>
      <c r="G51" s="344">
        <f>SUM(G45:G50)</f>
        <v>1375000</v>
      </c>
      <c r="H51" s="345">
        <f>SUM(H45:H50)</f>
        <v>2195.510646955106</v>
      </c>
      <c r="I51" s="263">
        <f>SUM(I45:I50)</f>
        <v>41250</v>
      </c>
      <c r="J51" s="263">
        <f>SUM(J45:J50)</f>
        <v>32800</v>
      </c>
      <c r="K51" s="12"/>
      <c r="L51" s="522"/>
      <c r="M51" s="522"/>
      <c r="N51" s="522"/>
      <c r="O51" s="556"/>
    </row>
    <row r="52" spans="1:15" x14ac:dyDescent="0.25">
      <c r="A52" s="456"/>
      <c r="B52" s="456"/>
      <c r="C52" s="457"/>
      <c r="D52" s="458"/>
      <c r="E52" s="459"/>
      <c r="F52" s="460"/>
      <c r="G52" s="460"/>
      <c r="H52" s="461"/>
      <c r="I52" s="702"/>
      <c r="J52" s="702"/>
      <c r="K52" s="702"/>
      <c r="L52" s="522"/>
      <c r="M52" s="522"/>
      <c r="N52" s="522"/>
      <c r="O52" s="556"/>
    </row>
    <row r="53" spans="1:15" x14ac:dyDescent="0.25">
      <c r="A53" s="188">
        <v>1</v>
      </c>
      <c r="B53" s="189" t="s">
        <v>742</v>
      </c>
      <c r="C53" s="225" t="s">
        <v>28</v>
      </c>
      <c r="D53" s="228">
        <v>2</v>
      </c>
      <c r="E53" s="229">
        <v>12</v>
      </c>
      <c r="F53" s="227">
        <v>12500</v>
      </c>
      <c r="G53" s="227">
        <f t="shared" ref="G53:G61" si="25">D53*E53*F53</f>
        <v>300000</v>
      </c>
      <c r="H53" s="373">
        <f t="shared" ref="H53:H61" si="26">G53/589.84</f>
        <v>508.612505086125</v>
      </c>
      <c r="I53" s="642">
        <f>G53*0.03</f>
        <v>9000</v>
      </c>
      <c r="J53" s="642">
        <f>1900*D53</f>
        <v>3800</v>
      </c>
      <c r="K53" s="642">
        <f>G53/D53</f>
        <v>150000</v>
      </c>
      <c r="L53" s="522"/>
      <c r="M53" s="522"/>
      <c r="N53" s="522"/>
      <c r="O53" s="556"/>
    </row>
    <row r="54" spans="1:15" x14ac:dyDescent="0.25">
      <c r="A54" s="188">
        <v>2</v>
      </c>
      <c r="B54" s="189" t="s">
        <v>743</v>
      </c>
      <c r="C54" s="225" t="s">
        <v>28</v>
      </c>
      <c r="D54" s="228">
        <v>1</v>
      </c>
      <c r="E54" s="229">
        <v>10</v>
      </c>
      <c r="F54" s="25">
        <v>10000</v>
      </c>
      <c r="G54" s="227">
        <f t="shared" si="25"/>
        <v>100000</v>
      </c>
      <c r="H54" s="268">
        <f t="shared" si="26"/>
        <v>169.537501695375</v>
      </c>
      <c r="I54" s="642">
        <f t="shared" ref="I54:I61" si="27">G54*0.03</f>
        <v>3000</v>
      </c>
      <c r="J54" s="642">
        <f>1600*D54</f>
        <v>1600</v>
      </c>
      <c r="K54" s="642">
        <f t="shared" ref="K54:K61" si="28">G54/D54</f>
        <v>100000</v>
      </c>
      <c r="L54" s="522"/>
      <c r="M54" s="522"/>
      <c r="N54" s="522"/>
      <c r="O54" s="556"/>
    </row>
    <row r="55" spans="1:15" x14ac:dyDescent="0.25">
      <c r="A55" s="188">
        <v>3</v>
      </c>
      <c r="B55" s="189" t="s">
        <v>744</v>
      </c>
      <c r="C55" s="225" t="s">
        <v>28</v>
      </c>
      <c r="D55" s="228">
        <v>2</v>
      </c>
      <c r="E55" s="229">
        <v>13</v>
      </c>
      <c r="F55" s="25">
        <v>10000</v>
      </c>
      <c r="G55" s="227">
        <f t="shared" si="25"/>
        <v>260000</v>
      </c>
      <c r="H55" s="268">
        <f t="shared" si="26"/>
        <v>440.797504407975</v>
      </c>
      <c r="I55" s="642">
        <f t="shared" si="27"/>
        <v>7800</v>
      </c>
      <c r="J55" s="642">
        <f>1900*D55</f>
        <v>3800</v>
      </c>
      <c r="K55" s="642">
        <f t="shared" si="28"/>
        <v>130000</v>
      </c>
      <c r="L55" s="522"/>
      <c r="M55" s="522"/>
      <c r="N55" s="522"/>
      <c r="O55" s="556"/>
    </row>
    <row r="56" spans="1:15" x14ac:dyDescent="0.25">
      <c r="A56" s="188">
        <v>4</v>
      </c>
      <c r="B56" s="189" t="s">
        <v>745</v>
      </c>
      <c r="C56" s="225" t="s">
        <v>28</v>
      </c>
      <c r="D56" s="228">
        <v>1</v>
      </c>
      <c r="E56" s="229">
        <v>13</v>
      </c>
      <c r="F56" s="25">
        <v>10000</v>
      </c>
      <c r="G56" s="227">
        <f t="shared" si="25"/>
        <v>130000</v>
      </c>
      <c r="H56" s="268">
        <f t="shared" si="26"/>
        <v>220.3987522039875</v>
      </c>
      <c r="I56" s="642">
        <f t="shared" si="27"/>
        <v>3900</v>
      </c>
      <c r="J56" s="642">
        <f>1600*D56</f>
        <v>1600</v>
      </c>
      <c r="K56" s="642">
        <f t="shared" si="28"/>
        <v>130000</v>
      </c>
      <c r="L56" s="522"/>
      <c r="M56" s="522"/>
      <c r="N56" s="522"/>
      <c r="O56" s="556"/>
    </row>
    <row r="57" spans="1:15" x14ac:dyDescent="0.25">
      <c r="A57" s="188">
        <v>5</v>
      </c>
      <c r="B57" s="189" t="s">
        <v>746</v>
      </c>
      <c r="C57" s="225" t="s">
        <v>28</v>
      </c>
      <c r="D57" s="228">
        <v>1</v>
      </c>
      <c r="E57" s="229">
        <v>10</v>
      </c>
      <c r="F57" s="25">
        <v>10000</v>
      </c>
      <c r="G57" s="227">
        <f t="shared" si="25"/>
        <v>100000</v>
      </c>
      <c r="H57" s="268">
        <f t="shared" si="26"/>
        <v>169.537501695375</v>
      </c>
      <c r="I57" s="642">
        <f t="shared" si="27"/>
        <v>3000</v>
      </c>
      <c r="J57" s="642">
        <f>1600*D57</f>
        <v>1600</v>
      </c>
      <c r="K57" s="642">
        <f t="shared" si="28"/>
        <v>100000</v>
      </c>
      <c r="L57" s="522"/>
      <c r="M57" s="522"/>
      <c r="N57" s="522"/>
      <c r="O57" s="556"/>
    </row>
    <row r="58" spans="1:15" x14ac:dyDescent="0.25">
      <c r="A58" s="188">
        <v>6</v>
      </c>
      <c r="B58" s="189" t="s">
        <v>747</v>
      </c>
      <c r="C58" s="225" t="s">
        <v>28</v>
      </c>
      <c r="D58" s="228">
        <v>2</v>
      </c>
      <c r="E58" s="229">
        <v>10</v>
      </c>
      <c r="F58" s="25">
        <v>10000</v>
      </c>
      <c r="G58" s="227">
        <f t="shared" si="25"/>
        <v>200000</v>
      </c>
      <c r="H58" s="268">
        <f t="shared" si="26"/>
        <v>339.07500339075</v>
      </c>
      <c r="I58" s="642">
        <f t="shared" si="27"/>
        <v>6000</v>
      </c>
      <c r="J58" s="642">
        <f>1600*D58</f>
        <v>3200</v>
      </c>
      <c r="K58" s="642">
        <f t="shared" si="28"/>
        <v>100000</v>
      </c>
      <c r="L58" s="522"/>
      <c r="M58" s="522"/>
      <c r="N58" s="522"/>
      <c r="O58" s="556"/>
    </row>
    <row r="59" spans="1:15" x14ac:dyDescent="0.25">
      <c r="A59" s="188">
        <v>7</v>
      </c>
      <c r="B59" s="189" t="s">
        <v>748</v>
      </c>
      <c r="C59" s="225" t="s">
        <v>28</v>
      </c>
      <c r="D59" s="228">
        <v>2</v>
      </c>
      <c r="E59" s="229">
        <v>10</v>
      </c>
      <c r="F59" s="25">
        <v>10000</v>
      </c>
      <c r="G59" s="227">
        <f t="shared" si="25"/>
        <v>200000</v>
      </c>
      <c r="H59" s="268">
        <f t="shared" si="26"/>
        <v>339.07500339075</v>
      </c>
      <c r="I59" s="642">
        <f t="shared" si="27"/>
        <v>6000</v>
      </c>
      <c r="J59" s="642">
        <f>1600*D59</f>
        <v>3200</v>
      </c>
      <c r="K59" s="642">
        <f t="shared" si="28"/>
        <v>100000</v>
      </c>
      <c r="L59" s="522"/>
      <c r="M59" s="522"/>
      <c r="N59" s="522"/>
      <c r="O59" s="556"/>
    </row>
    <row r="60" spans="1:15" x14ac:dyDescent="0.25">
      <c r="A60" s="188">
        <v>8</v>
      </c>
      <c r="B60" s="189" t="s">
        <v>749</v>
      </c>
      <c r="C60" s="225" t="s">
        <v>28</v>
      </c>
      <c r="D60" s="228">
        <v>2</v>
      </c>
      <c r="E60" s="229">
        <v>10</v>
      </c>
      <c r="F60" s="25">
        <v>10000</v>
      </c>
      <c r="G60" s="227">
        <f t="shared" si="25"/>
        <v>200000</v>
      </c>
      <c r="H60" s="268">
        <f t="shared" si="26"/>
        <v>339.07500339075</v>
      </c>
      <c r="I60" s="642">
        <f t="shared" si="27"/>
        <v>6000</v>
      </c>
      <c r="J60" s="642">
        <f>1600*D60</f>
        <v>3200</v>
      </c>
      <c r="K60" s="642">
        <f t="shared" si="28"/>
        <v>100000</v>
      </c>
      <c r="L60" s="522"/>
      <c r="M60" s="522"/>
      <c r="N60" s="522"/>
      <c r="O60" s="556"/>
    </row>
    <row r="61" spans="1:15" ht="16.5" thickBot="1" x14ac:dyDescent="0.3">
      <c r="A61" s="188">
        <v>9</v>
      </c>
      <c r="B61" s="189" t="s">
        <v>750</v>
      </c>
      <c r="C61" s="225" t="s">
        <v>28</v>
      </c>
      <c r="D61" s="228">
        <v>1</v>
      </c>
      <c r="E61" s="229">
        <v>10</v>
      </c>
      <c r="F61" s="227">
        <v>5000</v>
      </c>
      <c r="G61" s="227">
        <f t="shared" si="25"/>
        <v>50000</v>
      </c>
      <c r="H61" s="268">
        <f t="shared" si="26"/>
        <v>84.7687508476875</v>
      </c>
      <c r="I61" s="642">
        <f t="shared" si="27"/>
        <v>1500</v>
      </c>
      <c r="J61" s="642">
        <f>1050*D61</f>
        <v>1050</v>
      </c>
      <c r="K61" s="642">
        <f t="shared" si="28"/>
        <v>50000</v>
      </c>
      <c r="L61" s="522"/>
      <c r="M61" s="522"/>
      <c r="N61" s="522"/>
      <c r="O61" s="556"/>
    </row>
    <row r="62" spans="1:15" ht="18.75" thickBot="1" x14ac:dyDescent="0.3">
      <c r="A62" s="242" t="s">
        <v>522</v>
      </c>
      <c r="B62" s="243"/>
      <c r="C62" s="242"/>
      <c r="D62" s="242"/>
      <c r="E62" s="242"/>
      <c r="F62" s="244"/>
      <c r="G62" s="244">
        <f>SUM(G53:G61)</f>
        <v>1540000</v>
      </c>
      <c r="H62" s="340">
        <f>SUM(H53:H61)</f>
        <v>2610.8775261087749</v>
      </c>
      <c r="I62" s="263">
        <f>SUM(I53:I61)</f>
        <v>46200</v>
      </c>
      <c r="J62" s="263">
        <f>SUM(J53:J61)</f>
        <v>23050</v>
      </c>
      <c r="K62" s="501"/>
      <c r="L62" s="522"/>
      <c r="M62" s="522"/>
      <c r="N62" s="522"/>
      <c r="O62" s="556"/>
    </row>
    <row r="63" spans="1:15" ht="32.65" customHeight="1" thickBot="1" x14ac:dyDescent="0.3">
      <c r="A63" s="780" t="s">
        <v>526</v>
      </c>
      <c r="B63" s="781"/>
      <c r="C63" s="781"/>
      <c r="D63" s="781"/>
      <c r="E63" s="783"/>
      <c r="F63" s="348"/>
      <c r="G63" s="349"/>
      <c r="H63" s="350"/>
      <c r="I63" s="642"/>
      <c r="J63" s="642"/>
      <c r="K63" s="642"/>
      <c r="L63" s="522"/>
      <c r="M63" s="522"/>
      <c r="N63" s="522"/>
      <c r="O63" s="556"/>
    </row>
    <row r="64" spans="1:15" ht="18" x14ac:dyDescent="0.25">
      <c r="A64" s="233"/>
      <c r="B64" s="234" t="s">
        <v>524</v>
      </c>
      <c r="C64" s="234"/>
      <c r="D64" s="234"/>
      <c r="E64" s="234"/>
      <c r="F64" s="234"/>
      <c r="G64" s="234"/>
      <c r="H64" s="234"/>
      <c r="I64" s="234"/>
      <c r="J64" s="234"/>
      <c r="K64" s="234"/>
      <c r="L64" s="522"/>
      <c r="M64" s="522"/>
      <c r="N64" s="522"/>
      <c r="O64" s="556"/>
    </row>
    <row r="65" spans="1:15" x14ac:dyDescent="0.25">
      <c r="A65" s="22">
        <v>1</v>
      </c>
      <c r="B65" s="26" t="s">
        <v>1293</v>
      </c>
      <c r="C65" s="23" t="s">
        <v>83</v>
      </c>
      <c r="D65" s="19">
        <f>(56-13)-6</f>
        <v>37</v>
      </c>
      <c r="E65" s="23">
        <v>10</v>
      </c>
      <c r="F65" s="25">
        <v>10000</v>
      </c>
      <c r="G65" s="227">
        <f t="shared" ref="G65:G83" si="29">D65*E65*F65</f>
        <v>3700000</v>
      </c>
      <c r="H65" s="373">
        <f t="shared" ref="H65:H83" si="30">G65/589.84</f>
        <v>6272.8875627288753</v>
      </c>
      <c r="I65" s="642">
        <f t="shared" ref="I65" si="31">G65*0.03</f>
        <v>111000</v>
      </c>
      <c r="J65" s="642">
        <f>1600*D65</f>
        <v>59200</v>
      </c>
      <c r="K65" s="642">
        <f t="shared" ref="K65:K67" si="32">G65/D65</f>
        <v>100000</v>
      </c>
      <c r="L65" s="522"/>
      <c r="M65" s="522"/>
      <c r="N65" s="522"/>
      <c r="O65" s="556"/>
    </row>
    <row r="66" spans="1:15" x14ac:dyDescent="0.25">
      <c r="A66" s="22">
        <v>2</v>
      </c>
      <c r="B66" s="26" t="s">
        <v>1294</v>
      </c>
      <c r="C66" s="23" t="s">
        <v>30</v>
      </c>
      <c r="D66" s="19">
        <f>56*3*10</f>
        <v>1680</v>
      </c>
      <c r="E66" s="23">
        <v>1</v>
      </c>
      <c r="F66" s="25">
        <v>850</v>
      </c>
      <c r="G66" s="227">
        <f t="shared" si="29"/>
        <v>1428000</v>
      </c>
      <c r="H66" s="268">
        <f t="shared" si="30"/>
        <v>2420.995524209955</v>
      </c>
      <c r="I66" s="522"/>
      <c r="J66" s="522"/>
      <c r="K66" s="522"/>
      <c r="L66" s="522"/>
      <c r="M66" s="522"/>
      <c r="N66" s="522"/>
      <c r="O66" s="556"/>
    </row>
    <row r="67" spans="1:15" x14ac:dyDescent="0.25">
      <c r="A67" s="22">
        <v>3</v>
      </c>
      <c r="B67" s="26" t="s">
        <v>1295</v>
      </c>
      <c r="C67" s="23" t="s">
        <v>83</v>
      </c>
      <c r="D67" s="19">
        <f>+D15+D22+D29+D36+D43+D50</f>
        <v>7</v>
      </c>
      <c r="E67" s="23">
        <v>10</v>
      </c>
      <c r="F67" s="25">
        <v>10000</v>
      </c>
      <c r="G67" s="227">
        <f t="shared" si="29"/>
        <v>700000</v>
      </c>
      <c r="H67" s="268">
        <f t="shared" si="30"/>
        <v>1186.7625118676251</v>
      </c>
      <c r="I67" s="642">
        <f t="shared" ref="I67" si="33">G67*0.03</f>
        <v>21000</v>
      </c>
      <c r="J67" s="642">
        <f>1600*D67</f>
        <v>11200</v>
      </c>
      <c r="K67" s="642">
        <f t="shared" si="32"/>
        <v>100000</v>
      </c>
      <c r="L67" s="522"/>
      <c r="M67" s="522"/>
      <c r="N67" s="522"/>
      <c r="O67" s="556"/>
    </row>
    <row r="68" spans="1:15" x14ac:dyDescent="0.25">
      <c r="A68" s="22">
        <v>4</v>
      </c>
      <c r="B68" s="26" t="s">
        <v>1296</v>
      </c>
      <c r="C68" s="23" t="s">
        <v>30</v>
      </c>
      <c r="D68" s="19">
        <f>D67*3*10</f>
        <v>210</v>
      </c>
      <c r="E68" s="23">
        <v>1</v>
      </c>
      <c r="F68" s="25">
        <v>850</v>
      </c>
      <c r="G68" s="227">
        <f t="shared" si="29"/>
        <v>178500</v>
      </c>
      <c r="H68" s="268">
        <f t="shared" si="30"/>
        <v>302.62444052624437</v>
      </c>
      <c r="I68" s="522"/>
      <c r="J68" s="522"/>
      <c r="K68" s="522"/>
      <c r="L68" s="522"/>
      <c r="M68" s="522"/>
      <c r="N68" s="522"/>
      <c r="O68" s="556"/>
    </row>
    <row r="69" spans="1:15" x14ac:dyDescent="0.25">
      <c r="A69" s="22">
        <v>5</v>
      </c>
      <c r="B69" s="26" t="s">
        <v>1297</v>
      </c>
      <c r="C69" s="23" t="s">
        <v>84</v>
      </c>
      <c r="D69" s="19">
        <v>3</v>
      </c>
      <c r="E69" s="23">
        <v>0</v>
      </c>
      <c r="F69" s="25">
        <v>75000</v>
      </c>
      <c r="G69" s="227">
        <f t="shared" si="29"/>
        <v>0</v>
      </c>
      <c r="H69" s="268">
        <f t="shared" si="30"/>
        <v>0</v>
      </c>
      <c r="I69" s="522"/>
      <c r="J69" s="522"/>
      <c r="K69" s="522"/>
      <c r="L69" s="522"/>
      <c r="M69" s="522"/>
      <c r="N69" s="522"/>
      <c r="O69" s="556"/>
    </row>
    <row r="70" spans="1:15" x14ac:dyDescent="0.25">
      <c r="A70" s="22">
        <v>6</v>
      </c>
      <c r="B70" s="26" t="s">
        <v>1298</v>
      </c>
      <c r="C70" s="23" t="s">
        <v>29</v>
      </c>
      <c r="D70" s="19">
        <f>D69*100*0.2*10</f>
        <v>600</v>
      </c>
      <c r="E70" s="23">
        <v>1</v>
      </c>
      <c r="F70" s="25">
        <v>800</v>
      </c>
      <c r="G70" s="227">
        <f t="shared" si="29"/>
        <v>480000</v>
      </c>
      <c r="H70" s="268">
        <f t="shared" si="30"/>
        <v>813.7800081378</v>
      </c>
      <c r="I70" s="522"/>
      <c r="J70" s="522"/>
      <c r="K70" s="522"/>
      <c r="L70" s="522"/>
      <c r="M70" s="522"/>
      <c r="N70" s="522"/>
      <c r="O70" s="556"/>
    </row>
    <row r="71" spans="1:15" x14ac:dyDescent="0.25">
      <c r="A71" s="22">
        <v>7</v>
      </c>
      <c r="B71" s="26" t="s">
        <v>1363</v>
      </c>
      <c r="C71" s="23" t="s">
        <v>90</v>
      </c>
      <c r="D71" s="19">
        <f>50*0.2*1*10</f>
        <v>100</v>
      </c>
      <c r="E71" s="23">
        <v>1</v>
      </c>
      <c r="F71" s="25">
        <v>800</v>
      </c>
      <c r="G71" s="227">
        <f t="shared" si="29"/>
        <v>80000</v>
      </c>
      <c r="H71" s="268">
        <f t="shared" si="30"/>
        <v>135.6300013563</v>
      </c>
      <c r="I71" s="522"/>
      <c r="J71" s="522"/>
      <c r="K71" s="522"/>
      <c r="L71" s="522"/>
      <c r="M71" s="522"/>
      <c r="N71" s="522"/>
      <c r="O71" s="556"/>
    </row>
    <row r="72" spans="1:15" x14ac:dyDescent="0.25">
      <c r="A72" s="22">
        <v>8</v>
      </c>
      <c r="B72" s="26" t="s">
        <v>1299</v>
      </c>
      <c r="C72" s="23" t="s">
        <v>1280</v>
      </c>
      <c r="D72" s="19">
        <v>0</v>
      </c>
      <c r="E72" s="23">
        <v>0</v>
      </c>
      <c r="F72" s="25">
        <f>75000+225000</f>
        <v>300000</v>
      </c>
      <c r="G72" s="227">
        <f t="shared" si="29"/>
        <v>0</v>
      </c>
      <c r="H72" s="268">
        <f t="shared" si="30"/>
        <v>0</v>
      </c>
      <c r="I72" s="522"/>
      <c r="J72" s="522"/>
      <c r="K72" s="522"/>
      <c r="L72" s="522"/>
      <c r="M72" s="522"/>
      <c r="N72" s="522"/>
      <c r="O72" s="556"/>
    </row>
    <row r="73" spans="1:15" x14ac:dyDescent="0.25">
      <c r="A73" s="22">
        <v>9</v>
      </c>
      <c r="B73" s="26" t="s">
        <v>1446</v>
      </c>
      <c r="C73" s="23" t="s">
        <v>30</v>
      </c>
      <c r="D73" s="19">
        <f>6*3*10</f>
        <v>180</v>
      </c>
      <c r="E73" s="23">
        <v>1</v>
      </c>
      <c r="F73" s="25">
        <v>850</v>
      </c>
      <c r="G73" s="227">
        <f t="shared" si="29"/>
        <v>153000</v>
      </c>
      <c r="H73" s="268">
        <f t="shared" si="30"/>
        <v>259.39237759392375</v>
      </c>
      <c r="I73" s="522"/>
      <c r="J73" s="522"/>
      <c r="K73" s="522"/>
      <c r="L73" s="522"/>
      <c r="M73" s="522"/>
      <c r="N73" s="522"/>
      <c r="O73" s="556"/>
    </row>
    <row r="74" spans="1:15" x14ac:dyDescent="0.25">
      <c r="A74" s="22">
        <v>10</v>
      </c>
      <c r="B74" s="26" t="s">
        <v>1300</v>
      </c>
      <c r="C74" s="23" t="s">
        <v>1301</v>
      </c>
      <c r="D74" s="19">
        <v>0</v>
      </c>
      <c r="E74" s="23">
        <v>0</v>
      </c>
      <c r="F74" s="25">
        <v>6000</v>
      </c>
      <c r="G74" s="227">
        <f t="shared" si="29"/>
        <v>0</v>
      </c>
      <c r="H74" s="268">
        <f t="shared" si="30"/>
        <v>0</v>
      </c>
      <c r="I74" s="522"/>
      <c r="J74" s="522"/>
      <c r="K74" s="522"/>
      <c r="L74" s="522"/>
      <c r="M74" s="522"/>
      <c r="N74" s="522"/>
      <c r="O74" s="556"/>
    </row>
    <row r="75" spans="1:15" x14ac:dyDescent="0.25">
      <c r="A75" s="22">
        <v>11</v>
      </c>
      <c r="B75" s="26" t="s">
        <v>266</v>
      </c>
      <c r="C75" s="23" t="s">
        <v>1302</v>
      </c>
      <c r="D75" s="19">
        <v>0</v>
      </c>
      <c r="E75" s="23">
        <v>0</v>
      </c>
      <c r="F75" s="25">
        <v>0</v>
      </c>
      <c r="G75" s="227">
        <f t="shared" si="29"/>
        <v>0</v>
      </c>
      <c r="H75" s="268">
        <f t="shared" si="30"/>
        <v>0</v>
      </c>
      <c r="I75" s="522"/>
      <c r="J75" s="522"/>
      <c r="K75" s="522"/>
      <c r="L75" s="522"/>
      <c r="M75" s="522"/>
      <c r="N75" s="522"/>
      <c r="O75" s="556"/>
    </row>
    <row r="76" spans="1:15" x14ac:dyDescent="0.25">
      <c r="A76" s="22">
        <v>12</v>
      </c>
      <c r="B76" s="26" t="s">
        <v>267</v>
      </c>
      <c r="C76" s="23" t="s">
        <v>1302</v>
      </c>
      <c r="D76" s="19">
        <v>1</v>
      </c>
      <c r="E76" s="23">
        <v>2</v>
      </c>
      <c r="F76" s="25">
        <v>35000</v>
      </c>
      <c r="G76" s="227">
        <f t="shared" si="29"/>
        <v>70000</v>
      </c>
      <c r="H76" s="268">
        <f t="shared" si="30"/>
        <v>118.6762511867625</v>
      </c>
      <c r="I76" s="522"/>
      <c r="J76" s="522"/>
      <c r="K76" s="522"/>
      <c r="L76" s="522"/>
      <c r="M76" s="522"/>
      <c r="N76" s="522"/>
      <c r="O76" s="556"/>
    </row>
    <row r="77" spans="1:15" x14ac:dyDescent="0.25">
      <c r="A77" s="22">
        <v>13</v>
      </c>
      <c r="B77" s="26" t="s">
        <v>1386</v>
      </c>
      <c r="C77" s="23" t="s">
        <v>1302</v>
      </c>
      <c r="D77" s="19">
        <v>0</v>
      </c>
      <c r="E77" s="23">
        <v>0</v>
      </c>
      <c r="F77" s="23">
        <v>0</v>
      </c>
      <c r="G77" s="227">
        <f t="shared" si="29"/>
        <v>0</v>
      </c>
      <c r="H77" s="268">
        <f t="shared" si="30"/>
        <v>0</v>
      </c>
      <c r="I77" s="522"/>
      <c r="J77" s="522"/>
      <c r="K77" s="522"/>
      <c r="L77" s="522"/>
      <c r="M77" s="522"/>
      <c r="N77" s="522"/>
      <c r="O77" s="556"/>
    </row>
    <row r="78" spans="1:15" x14ac:dyDescent="0.25">
      <c r="A78" s="22">
        <v>14</v>
      </c>
      <c r="B78" s="26" t="s">
        <v>269</v>
      </c>
      <c r="C78" s="23" t="s">
        <v>1302</v>
      </c>
      <c r="D78" s="19">
        <v>0</v>
      </c>
      <c r="E78" s="23">
        <v>0</v>
      </c>
      <c r="F78" s="23">
        <v>0</v>
      </c>
      <c r="G78" s="227">
        <f t="shared" si="29"/>
        <v>0</v>
      </c>
      <c r="H78" s="268">
        <f t="shared" si="30"/>
        <v>0</v>
      </c>
      <c r="I78" s="522"/>
      <c r="J78" s="522"/>
      <c r="K78" s="522"/>
      <c r="L78" s="522"/>
      <c r="M78" s="522"/>
      <c r="N78" s="522"/>
      <c r="O78" s="556"/>
    </row>
    <row r="79" spans="1:15" x14ac:dyDescent="0.25">
      <c r="A79" s="22">
        <v>15</v>
      </c>
      <c r="B79" s="26" t="s">
        <v>87</v>
      </c>
      <c r="C79" s="23" t="s">
        <v>85</v>
      </c>
      <c r="D79" s="19">
        <v>0</v>
      </c>
      <c r="E79" s="23">
        <v>0</v>
      </c>
      <c r="F79" s="23">
        <v>0</v>
      </c>
      <c r="G79" s="227">
        <f t="shared" si="29"/>
        <v>0</v>
      </c>
      <c r="H79" s="268">
        <f t="shared" si="30"/>
        <v>0</v>
      </c>
      <c r="I79" s="522"/>
      <c r="J79" s="522"/>
      <c r="K79" s="522"/>
      <c r="L79" s="522"/>
      <c r="M79" s="522"/>
      <c r="N79" s="522"/>
      <c r="O79" s="556"/>
    </row>
    <row r="80" spans="1:15" x14ac:dyDescent="0.25">
      <c r="A80" s="22">
        <v>16</v>
      </c>
      <c r="B80" s="26" t="s">
        <v>1303</v>
      </c>
      <c r="C80" s="23" t="s">
        <v>85</v>
      </c>
      <c r="D80" s="19">
        <v>0</v>
      </c>
      <c r="E80" s="23">
        <v>0</v>
      </c>
      <c r="F80" s="23">
        <v>0</v>
      </c>
      <c r="G80" s="227">
        <f t="shared" si="29"/>
        <v>0</v>
      </c>
      <c r="H80" s="268">
        <f t="shared" si="30"/>
        <v>0</v>
      </c>
      <c r="I80" s="522"/>
      <c r="J80" s="522"/>
      <c r="K80" s="522"/>
      <c r="L80" s="522"/>
      <c r="M80" s="522"/>
      <c r="N80" s="522"/>
      <c r="O80" s="556"/>
    </row>
    <row r="81" spans="1:15" x14ac:dyDescent="0.25">
      <c r="A81" s="22">
        <v>17</v>
      </c>
      <c r="B81" s="26" t="s">
        <v>270</v>
      </c>
      <c r="C81" s="23" t="s">
        <v>29</v>
      </c>
      <c r="D81" s="19">
        <v>20</v>
      </c>
      <c r="E81" s="23">
        <v>10</v>
      </c>
      <c r="F81" s="25">
        <v>800</v>
      </c>
      <c r="G81" s="227">
        <f t="shared" si="29"/>
        <v>160000</v>
      </c>
      <c r="H81" s="268">
        <f t="shared" si="30"/>
        <v>271.2600027126</v>
      </c>
      <c r="I81" s="522"/>
      <c r="J81" s="522"/>
      <c r="K81" s="522"/>
      <c r="L81" s="522"/>
      <c r="M81" s="522"/>
      <c r="N81" s="522"/>
      <c r="O81" s="556"/>
    </row>
    <row r="82" spans="1:15" x14ac:dyDescent="0.25">
      <c r="A82" s="22">
        <v>18</v>
      </c>
      <c r="B82" s="26" t="s">
        <v>1304</v>
      </c>
      <c r="C82" s="23" t="s">
        <v>1305</v>
      </c>
      <c r="D82" s="19">
        <v>27</v>
      </c>
      <c r="E82" s="23">
        <v>1</v>
      </c>
      <c r="F82" s="25">
        <v>1500</v>
      </c>
      <c r="G82" s="227">
        <f t="shared" si="29"/>
        <v>40500</v>
      </c>
      <c r="H82" s="268">
        <f t="shared" si="30"/>
        <v>68.66268818662688</v>
      </c>
      <c r="I82" s="522"/>
      <c r="J82" s="522"/>
      <c r="K82" s="522"/>
      <c r="L82" s="522"/>
      <c r="M82" s="522"/>
      <c r="N82" s="522"/>
      <c r="O82" s="556"/>
    </row>
    <row r="83" spans="1:15" ht="16.5" thickBot="1" x14ac:dyDescent="0.3">
      <c r="A83" s="22">
        <v>19</v>
      </c>
      <c r="B83" s="26" t="s">
        <v>265</v>
      </c>
      <c r="C83" s="23" t="s">
        <v>1306</v>
      </c>
      <c r="D83" s="23">
        <v>0</v>
      </c>
      <c r="E83" s="23">
        <v>9</v>
      </c>
      <c r="F83" s="25">
        <v>10000</v>
      </c>
      <c r="G83" s="227">
        <f t="shared" si="29"/>
        <v>0</v>
      </c>
      <c r="H83" s="268">
        <f t="shared" si="30"/>
        <v>0</v>
      </c>
      <c r="I83" s="522"/>
      <c r="J83" s="522"/>
      <c r="K83" s="522"/>
      <c r="L83" s="522"/>
      <c r="M83" s="522"/>
      <c r="N83" s="522"/>
      <c r="O83" s="556"/>
    </row>
    <row r="84" spans="1:15" ht="19.149999999999999" customHeight="1" thickBot="1" x14ac:dyDescent="0.3">
      <c r="A84" s="780" t="s">
        <v>525</v>
      </c>
      <c r="B84" s="781"/>
      <c r="C84" s="781"/>
      <c r="D84" s="781"/>
      <c r="E84" s="783"/>
      <c r="F84" s="348"/>
      <c r="G84" s="349">
        <f>SUM(G65:G83)</f>
        <v>6990000</v>
      </c>
      <c r="H84" s="350">
        <f>SUM(H65:H83)</f>
        <v>11850.671368506713</v>
      </c>
      <c r="I84" s="692">
        <f>I65+I67</f>
        <v>132000</v>
      </c>
      <c r="J84" s="692">
        <f>J65+J67</f>
        <v>70400</v>
      </c>
      <c r="K84" s="692"/>
      <c r="L84" s="522"/>
      <c r="M84" s="522"/>
      <c r="N84" s="522"/>
      <c r="O84" s="556"/>
    </row>
    <row r="85" spans="1:15" ht="18" x14ac:dyDescent="0.25">
      <c r="A85" s="233"/>
      <c r="B85" s="234" t="s">
        <v>399</v>
      </c>
      <c r="C85" s="234"/>
      <c r="D85" s="234"/>
      <c r="E85" s="234"/>
      <c r="F85" s="234"/>
      <c r="G85" s="234"/>
      <c r="H85" s="234"/>
      <c r="I85" s="205"/>
      <c r="J85" s="205"/>
      <c r="K85" s="205"/>
      <c r="L85" s="522"/>
      <c r="M85" s="522"/>
      <c r="N85" s="522"/>
      <c r="O85" s="556"/>
    </row>
    <row r="86" spans="1:15" ht="18" x14ac:dyDescent="0.25">
      <c r="A86" s="205"/>
      <c r="B86" s="205" t="s">
        <v>400</v>
      </c>
      <c r="C86" s="205"/>
      <c r="D86" s="205"/>
      <c r="E86" s="205"/>
      <c r="F86" s="205"/>
      <c r="G86" s="205"/>
      <c r="H86" s="205"/>
      <c r="I86" s="205"/>
      <c r="J86" s="205"/>
      <c r="K86" s="205"/>
      <c r="L86" s="522"/>
      <c r="M86" s="522"/>
      <c r="N86" s="522"/>
      <c r="O86" s="556"/>
    </row>
    <row r="87" spans="1:15" ht="28.5" x14ac:dyDescent="0.25">
      <c r="A87" s="188">
        <v>1</v>
      </c>
      <c r="B87" s="189" t="s">
        <v>796</v>
      </c>
      <c r="C87" s="225" t="s">
        <v>28</v>
      </c>
      <c r="D87" s="226">
        <v>1</v>
      </c>
      <c r="E87" s="226">
        <v>3</v>
      </c>
      <c r="F87" s="227">
        <v>8000</v>
      </c>
      <c r="G87" s="227">
        <f>D87*E87*F87</f>
        <v>24000</v>
      </c>
      <c r="H87" s="268">
        <f t="shared" ref="H87:H106" si="34">G87/589.84</f>
        <v>40.689000406890003</v>
      </c>
      <c r="I87" s="642">
        <f t="shared" ref="I87:I94" si="35">G87*0.03</f>
        <v>720</v>
      </c>
      <c r="J87" s="642">
        <f>550*D87</f>
        <v>550</v>
      </c>
      <c r="K87" s="642">
        <f t="shared" ref="K87:K94" si="36">G87/D87</f>
        <v>24000</v>
      </c>
      <c r="L87" s="522"/>
      <c r="M87" s="522"/>
      <c r="N87" s="522"/>
      <c r="O87" s="556"/>
    </row>
    <row r="88" spans="1:15" ht="28.5" x14ac:dyDescent="0.25">
      <c r="A88" s="188">
        <v>2</v>
      </c>
      <c r="B88" s="189" t="s">
        <v>797</v>
      </c>
      <c r="C88" s="225" t="s">
        <v>28</v>
      </c>
      <c r="D88" s="226">
        <v>1</v>
      </c>
      <c r="E88" s="226">
        <v>3</v>
      </c>
      <c r="F88" s="227">
        <v>5000</v>
      </c>
      <c r="G88" s="227">
        <f t="shared" ref="G88:G106" si="37">D88*E88*F88</f>
        <v>15000</v>
      </c>
      <c r="H88" s="268">
        <f t="shared" si="34"/>
        <v>25.43062525430625</v>
      </c>
      <c r="I88" s="642">
        <f t="shared" si="35"/>
        <v>450</v>
      </c>
      <c r="J88" s="642">
        <f>450*D88</f>
        <v>450</v>
      </c>
      <c r="K88" s="642">
        <f t="shared" si="36"/>
        <v>15000</v>
      </c>
      <c r="L88" s="522"/>
      <c r="M88" s="522"/>
      <c r="N88" s="522"/>
      <c r="O88" s="556"/>
    </row>
    <row r="89" spans="1:15" ht="28.5" x14ac:dyDescent="0.25">
      <c r="A89" s="188">
        <v>3</v>
      </c>
      <c r="B89" s="189" t="s">
        <v>798</v>
      </c>
      <c r="C89" s="225" t="s">
        <v>28</v>
      </c>
      <c r="D89" s="226">
        <v>1</v>
      </c>
      <c r="E89" s="226">
        <v>3</v>
      </c>
      <c r="F89" s="227">
        <v>8000</v>
      </c>
      <c r="G89" s="227">
        <f t="shared" si="37"/>
        <v>24000</v>
      </c>
      <c r="H89" s="268">
        <f t="shared" si="34"/>
        <v>40.689000406890003</v>
      </c>
      <c r="I89" s="642">
        <f t="shared" si="35"/>
        <v>720</v>
      </c>
      <c r="J89" s="642">
        <f>550*D89</f>
        <v>550</v>
      </c>
      <c r="K89" s="642">
        <f t="shared" si="36"/>
        <v>24000</v>
      </c>
      <c r="L89" s="522"/>
      <c r="M89" s="522"/>
      <c r="N89" s="522"/>
      <c r="O89" s="556"/>
    </row>
    <row r="90" spans="1:15" ht="28.5" x14ac:dyDescent="0.25">
      <c r="A90" s="188">
        <v>4</v>
      </c>
      <c r="B90" s="189" t="s">
        <v>799</v>
      </c>
      <c r="C90" s="225" t="s">
        <v>28</v>
      </c>
      <c r="D90" s="226">
        <v>1</v>
      </c>
      <c r="E90" s="226">
        <v>3</v>
      </c>
      <c r="F90" s="227">
        <v>8000</v>
      </c>
      <c r="G90" s="227">
        <f t="shared" si="37"/>
        <v>24000</v>
      </c>
      <c r="H90" s="268">
        <f t="shared" si="34"/>
        <v>40.689000406890003</v>
      </c>
      <c r="I90" s="642">
        <f t="shared" si="35"/>
        <v>720</v>
      </c>
      <c r="J90" s="642">
        <f t="shared" ref="J90:J92" si="38">550*D90</f>
        <v>550</v>
      </c>
      <c r="K90" s="642">
        <f t="shared" si="36"/>
        <v>24000</v>
      </c>
      <c r="L90" s="522"/>
      <c r="M90" s="522"/>
      <c r="N90" s="522"/>
      <c r="O90" s="556"/>
    </row>
    <row r="91" spans="1:15" ht="28.5" x14ac:dyDescent="0.25">
      <c r="A91" s="188">
        <v>5</v>
      </c>
      <c r="B91" s="189" t="s">
        <v>800</v>
      </c>
      <c r="C91" s="225" t="s">
        <v>28</v>
      </c>
      <c r="D91" s="226">
        <v>1</v>
      </c>
      <c r="E91" s="226">
        <v>3</v>
      </c>
      <c r="F91" s="227">
        <v>8000</v>
      </c>
      <c r="G91" s="227">
        <f t="shared" si="37"/>
        <v>24000</v>
      </c>
      <c r="H91" s="268">
        <f t="shared" si="34"/>
        <v>40.689000406890003</v>
      </c>
      <c r="I91" s="642">
        <f t="shared" si="35"/>
        <v>720</v>
      </c>
      <c r="J91" s="642">
        <f t="shared" si="38"/>
        <v>550</v>
      </c>
      <c r="K91" s="642">
        <f t="shared" si="36"/>
        <v>24000</v>
      </c>
      <c r="L91" s="522"/>
      <c r="M91" s="522"/>
      <c r="N91" s="522"/>
      <c r="O91" s="556"/>
    </row>
    <row r="92" spans="1:15" ht="28.5" x14ac:dyDescent="0.25">
      <c r="A92" s="188">
        <v>6</v>
      </c>
      <c r="B92" s="189" t="s">
        <v>801</v>
      </c>
      <c r="C92" s="225" t="s">
        <v>28</v>
      </c>
      <c r="D92" s="226">
        <v>1</v>
      </c>
      <c r="E92" s="226">
        <v>3</v>
      </c>
      <c r="F92" s="227">
        <v>8000</v>
      </c>
      <c r="G92" s="227">
        <f t="shared" si="37"/>
        <v>24000</v>
      </c>
      <c r="H92" s="268">
        <f t="shared" si="34"/>
        <v>40.689000406890003</v>
      </c>
      <c r="I92" s="642">
        <f t="shared" si="35"/>
        <v>720</v>
      </c>
      <c r="J92" s="642">
        <f t="shared" si="38"/>
        <v>550</v>
      </c>
      <c r="K92" s="642">
        <f t="shared" si="36"/>
        <v>24000</v>
      </c>
      <c r="L92" s="522"/>
      <c r="M92" s="522"/>
      <c r="N92" s="522"/>
      <c r="O92" s="556"/>
    </row>
    <row r="93" spans="1:15" x14ac:dyDescent="0.25">
      <c r="A93" s="188">
        <v>15</v>
      </c>
      <c r="B93" s="189" t="s">
        <v>318</v>
      </c>
      <c r="C93" s="225" t="s">
        <v>28</v>
      </c>
      <c r="D93" s="226">
        <v>2</v>
      </c>
      <c r="E93" s="226">
        <v>3</v>
      </c>
      <c r="F93" s="227">
        <v>5000</v>
      </c>
      <c r="G93" s="227">
        <f t="shared" si="37"/>
        <v>30000</v>
      </c>
      <c r="H93" s="268">
        <f t="shared" si="34"/>
        <v>50.8612505086125</v>
      </c>
      <c r="I93" s="642">
        <f t="shared" si="35"/>
        <v>900</v>
      </c>
      <c r="J93" s="642">
        <f>450*D93</f>
        <v>900</v>
      </c>
      <c r="K93" s="642">
        <f t="shared" si="36"/>
        <v>15000</v>
      </c>
      <c r="L93" s="522"/>
      <c r="M93" s="522"/>
      <c r="N93" s="522"/>
      <c r="O93" s="556"/>
    </row>
    <row r="94" spans="1:15" x14ac:dyDescent="0.25">
      <c r="A94" s="188">
        <v>16</v>
      </c>
      <c r="B94" s="189" t="s">
        <v>319</v>
      </c>
      <c r="C94" s="225" t="s">
        <v>28</v>
      </c>
      <c r="D94" s="226">
        <v>2</v>
      </c>
      <c r="E94" s="226">
        <v>3</v>
      </c>
      <c r="F94" s="227">
        <v>5000</v>
      </c>
      <c r="G94" s="227">
        <f t="shared" si="37"/>
        <v>30000</v>
      </c>
      <c r="H94" s="268">
        <f t="shared" si="34"/>
        <v>50.8612505086125</v>
      </c>
      <c r="I94" s="642">
        <f t="shared" si="35"/>
        <v>900</v>
      </c>
      <c r="J94" s="642">
        <f>450*D94</f>
        <v>900</v>
      </c>
      <c r="K94" s="642">
        <f t="shared" si="36"/>
        <v>15000</v>
      </c>
      <c r="L94" s="522"/>
      <c r="M94" s="522"/>
      <c r="N94" s="522"/>
      <c r="O94" s="556"/>
    </row>
    <row r="95" spans="1:15" x14ac:dyDescent="0.25">
      <c r="A95" s="22">
        <v>17</v>
      </c>
      <c r="B95" s="189" t="s">
        <v>1471</v>
      </c>
      <c r="C95" s="225" t="s">
        <v>28</v>
      </c>
      <c r="D95" s="226">
        <v>1</v>
      </c>
      <c r="E95" s="226">
        <v>3</v>
      </c>
      <c r="F95" s="227">
        <v>5000</v>
      </c>
      <c r="G95" s="25">
        <f t="shared" si="37"/>
        <v>15000</v>
      </c>
      <c r="H95" s="268">
        <f t="shared" si="34"/>
        <v>25.43062525430625</v>
      </c>
      <c r="I95" s="642">
        <f t="shared" ref="I95:I100" si="39">G95*0.03</f>
        <v>450</v>
      </c>
      <c r="J95" s="642">
        <f t="shared" ref="J95:J98" si="40">450*D95</f>
        <v>450</v>
      </c>
      <c r="K95" s="642">
        <f t="shared" ref="K95:K100" si="41">G95/D95</f>
        <v>15000</v>
      </c>
      <c r="L95" s="12"/>
      <c r="M95" s="12"/>
      <c r="N95" s="12"/>
      <c r="O95" s="556"/>
    </row>
    <row r="96" spans="1:15" x14ac:dyDescent="0.25">
      <c r="A96" s="22">
        <v>18</v>
      </c>
      <c r="B96" s="189" t="s">
        <v>1472</v>
      </c>
      <c r="C96" s="225" t="s">
        <v>28</v>
      </c>
      <c r="D96" s="226">
        <v>1</v>
      </c>
      <c r="E96" s="226">
        <v>3</v>
      </c>
      <c r="F96" s="227">
        <v>5000</v>
      </c>
      <c r="G96" s="25">
        <f t="shared" si="37"/>
        <v>15000</v>
      </c>
      <c r="H96" s="268">
        <f t="shared" si="34"/>
        <v>25.43062525430625</v>
      </c>
      <c r="I96" s="642">
        <f t="shared" si="39"/>
        <v>450</v>
      </c>
      <c r="J96" s="642">
        <f t="shared" si="40"/>
        <v>450</v>
      </c>
      <c r="K96" s="642">
        <f t="shared" si="41"/>
        <v>15000</v>
      </c>
      <c r="L96" s="12"/>
      <c r="M96" s="12"/>
      <c r="N96" s="12"/>
      <c r="O96" s="556"/>
    </row>
    <row r="97" spans="1:15" x14ac:dyDescent="0.25">
      <c r="A97" s="188">
        <v>19</v>
      </c>
      <c r="B97" s="189" t="s">
        <v>320</v>
      </c>
      <c r="C97" s="225" t="s">
        <v>28</v>
      </c>
      <c r="D97" s="226">
        <v>1</v>
      </c>
      <c r="E97" s="226">
        <v>3</v>
      </c>
      <c r="F97" s="227">
        <v>5000</v>
      </c>
      <c r="G97" s="227">
        <f t="shared" si="37"/>
        <v>15000</v>
      </c>
      <c r="H97" s="268">
        <f t="shared" si="34"/>
        <v>25.43062525430625</v>
      </c>
      <c r="I97" s="642">
        <f t="shared" si="39"/>
        <v>450</v>
      </c>
      <c r="J97" s="642">
        <f t="shared" si="40"/>
        <v>450</v>
      </c>
      <c r="K97" s="642">
        <f t="shared" si="41"/>
        <v>15000</v>
      </c>
      <c r="L97" s="522"/>
      <c r="M97" s="522"/>
      <c r="N97" s="522"/>
      <c r="O97" s="556"/>
    </row>
    <row r="98" spans="1:15" x14ac:dyDescent="0.25">
      <c r="A98" s="188">
        <v>20</v>
      </c>
      <c r="B98" s="189" t="s">
        <v>321</v>
      </c>
      <c r="C98" s="225" t="s">
        <v>28</v>
      </c>
      <c r="D98" s="226">
        <v>1</v>
      </c>
      <c r="E98" s="226">
        <v>3</v>
      </c>
      <c r="F98" s="227">
        <v>5000</v>
      </c>
      <c r="G98" s="227">
        <f t="shared" si="37"/>
        <v>15000</v>
      </c>
      <c r="H98" s="268">
        <f t="shared" si="34"/>
        <v>25.43062525430625</v>
      </c>
      <c r="I98" s="642">
        <f t="shared" si="39"/>
        <v>450</v>
      </c>
      <c r="J98" s="642">
        <f t="shared" si="40"/>
        <v>450</v>
      </c>
      <c r="K98" s="642">
        <f t="shared" si="41"/>
        <v>15000</v>
      </c>
      <c r="L98" s="522"/>
      <c r="M98" s="522"/>
      <c r="N98" s="522"/>
      <c r="O98" s="556"/>
    </row>
    <row r="99" spans="1:15" x14ac:dyDescent="0.25">
      <c r="A99" s="188">
        <v>21</v>
      </c>
      <c r="B99" s="189" t="s">
        <v>1360</v>
      </c>
      <c r="C99" s="225" t="s">
        <v>28</v>
      </c>
      <c r="D99" s="226">
        <v>3</v>
      </c>
      <c r="E99" s="226">
        <v>3</v>
      </c>
      <c r="F99" s="227">
        <v>12500</v>
      </c>
      <c r="G99" s="227">
        <f t="shared" si="37"/>
        <v>112500</v>
      </c>
      <c r="H99" s="268">
        <f t="shared" si="34"/>
        <v>190.72968940729689</v>
      </c>
      <c r="I99" s="642">
        <f t="shared" si="39"/>
        <v>3375</v>
      </c>
      <c r="J99" s="642">
        <f>1050*D99</f>
        <v>3150</v>
      </c>
      <c r="K99" s="642">
        <f t="shared" si="41"/>
        <v>37500</v>
      </c>
      <c r="L99" s="522"/>
      <c r="M99" s="522"/>
      <c r="N99" s="522"/>
      <c r="O99" s="556"/>
    </row>
    <row r="100" spans="1:15" x14ac:dyDescent="0.25">
      <c r="A100" s="188">
        <v>22</v>
      </c>
      <c r="B100" s="189" t="s">
        <v>802</v>
      </c>
      <c r="C100" s="225" t="s">
        <v>28</v>
      </c>
      <c r="D100" s="226">
        <v>3</v>
      </c>
      <c r="E100" s="226">
        <v>3</v>
      </c>
      <c r="F100" s="227">
        <v>25000</v>
      </c>
      <c r="G100" s="227">
        <f t="shared" si="37"/>
        <v>225000</v>
      </c>
      <c r="H100" s="268">
        <f t="shared" si="34"/>
        <v>381.45937881459378</v>
      </c>
      <c r="I100" s="642">
        <f t="shared" si="39"/>
        <v>6750</v>
      </c>
      <c r="J100" s="642">
        <f>1600*D100</f>
        <v>4800</v>
      </c>
      <c r="K100" s="642">
        <f t="shared" si="41"/>
        <v>75000</v>
      </c>
      <c r="L100" s="522"/>
      <c r="M100" s="522"/>
      <c r="N100" s="522"/>
      <c r="O100" s="556"/>
    </row>
    <row r="101" spans="1:15" x14ac:dyDescent="0.25">
      <c r="A101" s="188">
        <v>23</v>
      </c>
      <c r="B101" s="26" t="s">
        <v>271</v>
      </c>
      <c r="C101" s="23" t="s">
        <v>28</v>
      </c>
      <c r="D101" s="24">
        <v>2</v>
      </c>
      <c r="E101" s="226">
        <v>3</v>
      </c>
      <c r="F101" s="25">
        <v>0</v>
      </c>
      <c r="G101" s="227">
        <f t="shared" si="37"/>
        <v>0</v>
      </c>
      <c r="H101" s="268">
        <f t="shared" si="34"/>
        <v>0</v>
      </c>
      <c r="I101" s="642">
        <f t="shared" ref="I101:I102" si="42">G101*0.03</f>
        <v>0</v>
      </c>
      <c r="J101" s="642">
        <v>0</v>
      </c>
      <c r="K101" s="642">
        <f t="shared" ref="K101:K102" si="43">G101/D101</f>
        <v>0</v>
      </c>
      <c r="L101" s="522"/>
      <c r="M101" s="522"/>
      <c r="N101" s="522"/>
      <c r="O101" s="556"/>
    </row>
    <row r="102" spans="1:15" x14ac:dyDescent="0.25">
      <c r="A102" s="188">
        <v>24</v>
      </c>
      <c r="B102" s="189" t="s">
        <v>409</v>
      </c>
      <c r="C102" s="225" t="s">
        <v>28</v>
      </c>
      <c r="D102" s="226">
        <v>1</v>
      </c>
      <c r="E102" s="226">
        <v>3</v>
      </c>
      <c r="F102" s="227">
        <v>3000</v>
      </c>
      <c r="G102" s="227">
        <f t="shared" si="37"/>
        <v>9000</v>
      </c>
      <c r="H102" s="268">
        <f t="shared" si="34"/>
        <v>15.258375152583751</v>
      </c>
      <c r="I102" s="642">
        <f t="shared" si="42"/>
        <v>270</v>
      </c>
      <c r="J102" s="642">
        <f>350*D102</f>
        <v>350</v>
      </c>
      <c r="K102" s="642">
        <f t="shared" si="43"/>
        <v>9000</v>
      </c>
      <c r="L102" s="522"/>
      <c r="M102" s="522"/>
      <c r="N102" s="522"/>
      <c r="O102" s="556"/>
    </row>
    <row r="103" spans="1:15" x14ac:dyDescent="0.25">
      <c r="A103" s="188">
        <v>25</v>
      </c>
      <c r="B103" s="189" t="s">
        <v>758</v>
      </c>
      <c r="C103" s="225" t="s">
        <v>28</v>
      </c>
      <c r="D103" s="226">
        <f>SUM(D87:D102)</f>
        <v>23</v>
      </c>
      <c r="E103" s="226">
        <v>3</v>
      </c>
      <c r="F103" s="227">
        <v>6500</v>
      </c>
      <c r="G103" s="227">
        <f t="shared" si="37"/>
        <v>448500</v>
      </c>
      <c r="H103" s="268">
        <f t="shared" si="34"/>
        <v>760.37569510375693</v>
      </c>
      <c r="I103" s="642">
        <v>0</v>
      </c>
      <c r="J103" s="642">
        <v>0</v>
      </c>
      <c r="K103" s="642">
        <v>0</v>
      </c>
      <c r="L103" s="522"/>
      <c r="M103" s="522"/>
      <c r="N103" s="522"/>
      <c r="O103" s="556"/>
    </row>
    <row r="104" spans="1:15" x14ac:dyDescent="0.25">
      <c r="A104" s="188">
        <v>26</v>
      </c>
      <c r="B104" s="189" t="s">
        <v>803</v>
      </c>
      <c r="C104" s="225" t="s">
        <v>28</v>
      </c>
      <c r="D104" s="226">
        <v>90</v>
      </c>
      <c r="E104" s="226">
        <v>3</v>
      </c>
      <c r="F104" s="227">
        <v>800</v>
      </c>
      <c r="G104" s="227">
        <f t="shared" si="37"/>
        <v>216000</v>
      </c>
      <c r="H104" s="268">
        <f t="shared" si="34"/>
        <v>366.20100366201001</v>
      </c>
      <c r="I104" s="642">
        <v>0</v>
      </c>
      <c r="J104" s="642">
        <v>0</v>
      </c>
      <c r="K104" s="642">
        <v>0</v>
      </c>
      <c r="L104" s="522"/>
      <c r="M104" s="522"/>
      <c r="N104" s="522"/>
      <c r="O104" s="556"/>
    </row>
    <row r="105" spans="1:15" x14ac:dyDescent="0.25">
      <c r="A105" s="188">
        <v>27</v>
      </c>
      <c r="B105" s="189" t="s">
        <v>1281</v>
      </c>
      <c r="C105" s="225" t="s">
        <v>28</v>
      </c>
      <c r="D105" s="226">
        <v>4</v>
      </c>
      <c r="E105" s="226">
        <v>2</v>
      </c>
      <c r="F105" s="227">
        <v>1500</v>
      </c>
      <c r="G105" s="227">
        <f t="shared" si="37"/>
        <v>12000</v>
      </c>
      <c r="H105" s="268">
        <f t="shared" si="34"/>
        <v>20.344500203445001</v>
      </c>
      <c r="I105" s="642">
        <v>0</v>
      </c>
      <c r="J105" s="642">
        <v>0</v>
      </c>
      <c r="K105" s="642">
        <v>0</v>
      </c>
      <c r="L105" s="522"/>
      <c r="M105" s="522"/>
      <c r="N105" s="522"/>
      <c r="O105" s="556"/>
    </row>
    <row r="106" spans="1:15" ht="16.5" thickBot="1" x14ac:dyDescent="0.3">
      <c r="A106" s="188">
        <v>28</v>
      </c>
      <c r="B106" s="189" t="s">
        <v>432</v>
      </c>
      <c r="C106" s="225" t="s">
        <v>90</v>
      </c>
      <c r="D106" s="226">
        <v>50</v>
      </c>
      <c r="E106" s="226">
        <v>1</v>
      </c>
      <c r="F106" s="227">
        <v>800</v>
      </c>
      <c r="G106" s="227">
        <f t="shared" si="37"/>
        <v>40000</v>
      </c>
      <c r="H106" s="268">
        <f t="shared" si="34"/>
        <v>67.81500067815</v>
      </c>
      <c r="I106" s="642">
        <v>0</v>
      </c>
      <c r="J106" s="642">
        <v>0</v>
      </c>
      <c r="K106" s="642">
        <v>0</v>
      </c>
      <c r="L106" s="522"/>
      <c r="M106" s="522"/>
      <c r="N106" s="522"/>
      <c r="O106" s="556"/>
    </row>
    <row r="107" spans="1:15" ht="18.75" thickBot="1" x14ac:dyDescent="0.3">
      <c r="A107" s="341"/>
      <c r="B107" s="342" t="s">
        <v>1399</v>
      </c>
      <c r="C107" s="343"/>
      <c r="D107" s="343"/>
      <c r="E107" s="343"/>
      <c r="F107" s="344"/>
      <c r="G107" s="344">
        <f>SUM(G87:G106)</f>
        <v>1318000</v>
      </c>
      <c r="H107" s="345">
        <f>SUM(H87:H106)</f>
        <v>2234.5042723450424</v>
      </c>
      <c r="I107" s="692">
        <f>SUM(I87:I106)</f>
        <v>18045</v>
      </c>
      <c r="J107" s="692">
        <f>SUM(J87:J106)</f>
        <v>15100</v>
      </c>
      <c r="K107" s="642"/>
      <c r="L107" s="522"/>
      <c r="M107" s="522"/>
      <c r="N107" s="522"/>
      <c r="O107" s="556"/>
    </row>
    <row r="108" spans="1:15" ht="18" x14ac:dyDescent="0.25">
      <c r="A108" s="205"/>
      <c r="B108" s="205" t="s">
        <v>401</v>
      </c>
      <c r="C108" s="205"/>
      <c r="D108" s="205"/>
      <c r="E108" s="205"/>
      <c r="F108" s="205"/>
      <c r="G108" s="205"/>
      <c r="H108" s="205"/>
      <c r="K108" s="522"/>
      <c r="L108" s="522"/>
      <c r="M108" s="522"/>
      <c r="N108" s="522"/>
      <c r="O108" s="556"/>
    </row>
    <row r="109" spans="1:15" x14ac:dyDescent="0.25">
      <c r="A109" s="188">
        <v>1</v>
      </c>
      <c r="B109" s="189" t="s">
        <v>804</v>
      </c>
      <c r="C109" s="225" t="s">
        <v>28</v>
      </c>
      <c r="D109" s="226">
        <v>6</v>
      </c>
      <c r="E109" s="225">
        <v>3</v>
      </c>
      <c r="F109" s="227">
        <v>3000</v>
      </c>
      <c r="G109" s="227">
        <f t="shared" ref="G109:G117" si="44">D109*E109*F109</f>
        <v>54000</v>
      </c>
      <c r="H109" s="268">
        <f t="shared" ref="H109:H117" si="45">G109/589.84</f>
        <v>91.550250915502502</v>
      </c>
      <c r="I109" s="642">
        <f t="shared" ref="I109" si="46">G109*0.03</f>
        <v>1620</v>
      </c>
      <c r="J109" s="642">
        <f>350*D109</f>
        <v>2100</v>
      </c>
      <c r="K109" s="642">
        <f t="shared" ref="K109" si="47">G109/D109</f>
        <v>9000</v>
      </c>
      <c r="L109" s="522"/>
      <c r="M109" s="522"/>
      <c r="N109" s="522"/>
      <c r="O109" s="556"/>
    </row>
    <row r="110" spans="1:15" x14ac:dyDescent="0.25">
      <c r="A110" s="188">
        <v>2</v>
      </c>
      <c r="B110" s="189" t="s">
        <v>805</v>
      </c>
      <c r="C110" s="225" t="s">
        <v>28</v>
      </c>
      <c r="D110" s="226">
        <v>16</v>
      </c>
      <c r="E110" s="225">
        <v>3</v>
      </c>
      <c r="F110" s="227">
        <v>3000</v>
      </c>
      <c r="G110" s="227">
        <f t="shared" si="44"/>
        <v>144000</v>
      </c>
      <c r="H110" s="268">
        <f t="shared" si="45"/>
        <v>244.13400244134002</v>
      </c>
      <c r="I110" s="642">
        <f t="shared" ref="I110:I116" si="48">G110*0.03</f>
        <v>4320</v>
      </c>
      <c r="J110" s="642">
        <f>350*D110</f>
        <v>5600</v>
      </c>
      <c r="K110" s="642">
        <f t="shared" ref="K110:K116" si="49">G110/D110</f>
        <v>9000</v>
      </c>
      <c r="L110" s="522"/>
      <c r="M110" s="522"/>
      <c r="N110" s="522"/>
      <c r="O110" s="556"/>
    </row>
    <row r="111" spans="1:15" x14ac:dyDescent="0.25">
      <c r="A111" s="188">
        <v>3</v>
      </c>
      <c r="B111" s="189" t="s">
        <v>780</v>
      </c>
      <c r="C111" s="225" t="s">
        <v>28</v>
      </c>
      <c r="D111" s="226">
        <v>4</v>
      </c>
      <c r="E111" s="225">
        <v>3</v>
      </c>
      <c r="F111" s="227">
        <v>3000</v>
      </c>
      <c r="G111" s="227">
        <f t="shared" si="44"/>
        <v>36000</v>
      </c>
      <c r="H111" s="268">
        <f t="shared" si="45"/>
        <v>61.033500610335004</v>
      </c>
      <c r="I111" s="642">
        <f t="shared" si="48"/>
        <v>1080</v>
      </c>
      <c r="J111" s="642">
        <f t="shared" ref="J111:J117" si="50">350*D111</f>
        <v>1400</v>
      </c>
      <c r="K111" s="642">
        <f t="shared" si="49"/>
        <v>9000</v>
      </c>
      <c r="L111" s="522"/>
      <c r="M111" s="522"/>
      <c r="N111" s="522"/>
      <c r="O111" s="556"/>
    </row>
    <row r="112" spans="1:15" x14ac:dyDescent="0.25">
      <c r="A112" s="188">
        <v>4</v>
      </c>
      <c r="B112" s="189" t="s">
        <v>784</v>
      </c>
      <c r="C112" s="225" t="s">
        <v>28</v>
      </c>
      <c r="D112" s="226">
        <v>10</v>
      </c>
      <c r="E112" s="225">
        <v>3</v>
      </c>
      <c r="F112" s="227">
        <v>3000</v>
      </c>
      <c r="G112" s="227">
        <f t="shared" si="44"/>
        <v>90000</v>
      </c>
      <c r="H112" s="268">
        <f t="shared" si="45"/>
        <v>152.5837515258375</v>
      </c>
      <c r="I112" s="642">
        <f t="shared" si="48"/>
        <v>2700</v>
      </c>
      <c r="J112" s="642">
        <f t="shared" si="50"/>
        <v>3500</v>
      </c>
      <c r="K112" s="642">
        <f t="shared" si="49"/>
        <v>9000</v>
      </c>
      <c r="L112" s="522"/>
      <c r="M112" s="522"/>
      <c r="N112" s="522"/>
      <c r="O112" s="556"/>
    </row>
    <row r="113" spans="1:15" x14ac:dyDescent="0.25">
      <c r="A113" s="188">
        <v>5</v>
      </c>
      <c r="B113" s="189" t="s">
        <v>788</v>
      </c>
      <c r="C113" s="225" t="s">
        <v>28</v>
      </c>
      <c r="D113" s="226">
        <v>10</v>
      </c>
      <c r="E113" s="225">
        <v>3</v>
      </c>
      <c r="F113" s="227">
        <v>3000</v>
      </c>
      <c r="G113" s="227">
        <f t="shared" si="44"/>
        <v>90000</v>
      </c>
      <c r="H113" s="268">
        <f t="shared" si="45"/>
        <v>152.5837515258375</v>
      </c>
      <c r="I113" s="642">
        <f t="shared" si="48"/>
        <v>2700</v>
      </c>
      <c r="J113" s="642">
        <f t="shared" si="50"/>
        <v>3500</v>
      </c>
      <c r="K113" s="642">
        <f t="shared" si="49"/>
        <v>9000</v>
      </c>
      <c r="L113" s="522"/>
      <c r="M113" s="522"/>
      <c r="N113" s="522"/>
      <c r="O113" s="556"/>
    </row>
    <row r="114" spans="1:15" x14ac:dyDescent="0.25">
      <c r="A114" s="188">
        <v>6</v>
      </c>
      <c r="B114" s="189" t="s">
        <v>792</v>
      </c>
      <c r="C114" s="225" t="s">
        <v>28</v>
      </c>
      <c r="D114" s="226">
        <v>8</v>
      </c>
      <c r="E114" s="225">
        <v>3</v>
      </c>
      <c r="F114" s="227">
        <v>3000</v>
      </c>
      <c r="G114" s="227">
        <f t="shared" si="44"/>
        <v>72000</v>
      </c>
      <c r="H114" s="268">
        <f t="shared" si="45"/>
        <v>122.06700122067001</v>
      </c>
      <c r="I114" s="642">
        <f t="shared" si="48"/>
        <v>2160</v>
      </c>
      <c r="J114" s="642">
        <f t="shared" si="50"/>
        <v>2800</v>
      </c>
      <c r="K114" s="642">
        <f t="shared" si="49"/>
        <v>9000</v>
      </c>
      <c r="L114" s="522"/>
      <c r="M114" s="522"/>
      <c r="N114" s="522"/>
      <c r="O114" s="556"/>
    </row>
    <row r="115" spans="1:15" x14ac:dyDescent="0.25">
      <c r="A115" s="188">
        <v>7</v>
      </c>
      <c r="B115" s="189" t="s">
        <v>43</v>
      </c>
      <c r="C115" s="225" t="s">
        <v>28</v>
      </c>
      <c r="D115" s="226">
        <v>6</v>
      </c>
      <c r="E115" s="225">
        <v>3</v>
      </c>
      <c r="F115" s="227">
        <v>3000</v>
      </c>
      <c r="G115" s="227">
        <f t="shared" si="44"/>
        <v>54000</v>
      </c>
      <c r="H115" s="268">
        <f t="shared" si="45"/>
        <v>91.550250915502502</v>
      </c>
      <c r="I115" s="642">
        <f t="shared" si="48"/>
        <v>1620</v>
      </c>
      <c r="J115" s="642">
        <f>350*D115</f>
        <v>2100</v>
      </c>
      <c r="K115" s="642">
        <f t="shared" si="49"/>
        <v>9000</v>
      </c>
      <c r="L115" s="522"/>
      <c r="M115" s="522"/>
      <c r="N115" s="522"/>
      <c r="O115" s="556"/>
    </row>
    <row r="116" spans="1:15" x14ac:dyDescent="0.25">
      <c r="A116" s="188">
        <v>8</v>
      </c>
      <c r="B116" s="189" t="s">
        <v>409</v>
      </c>
      <c r="C116" s="225" t="s">
        <v>28</v>
      </c>
      <c r="D116" s="226">
        <v>6</v>
      </c>
      <c r="E116" s="225">
        <v>3</v>
      </c>
      <c r="F116" s="227">
        <v>2000</v>
      </c>
      <c r="G116" s="227">
        <f t="shared" si="44"/>
        <v>36000</v>
      </c>
      <c r="H116" s="268">
        <f t="shared" si="45"/>
        <v>61.033500610335004</v>
      </c>
      <c r="I116" s="642">
        <f t="shared" si="48"/>
        <v>1080</v>
      </c>
      <c r="J116" s="642">
        <f t="shared" si="50"/>
        <v>2100</v>
      </c>
      <c r="K116" s="642">
        <f t="shared" si="49"/>
        <v>6000</v>
      </c>
      <c r="L116" s="522"/>
      <c r="M116" s="522"/>
      <c r="N116" s="522"/>
      <c r="O116" s="556"/>
    </row>
    <row r="117" spans="1:15" ht="16.5" thickBot="1" x14ac:dyDescent="0.3">
      <c r="A117" s="188">
        <v>9</v>
      </c>
      <c r="B117" s="189" t="s">
        <v>44</v>
      </c>
      <c r="C117" s="225" t="s">
        <v>28</v>
      </c>
      <c r="D117" s="226">
        <f>SUM(D109:D116)</f>
        <v>66</v>
      </c>
      <c r="E117" s="225">
        <v>3</v>
      </c>
      <c r="F117" s="227">
        <v>3000</v>
      </c>
      <c r="G117" s="227">
        <f t="shared" si="44"/>
        <v>594000</v>
      </c>
      <c r="H117" s="268">
        <f t="shared" si="45"/>
        <v>1007.0527600705276</v>
      </c>
      <c r="I117" s="642">
        <f t="shared" ref="I117" si="51">G117*0.03</f>
        <v>17820</v>
      </c>
      <c r="J117" s="642">
        <f t="shared" si="50"/>
        <v>23100</v>
      </c>
      <c r="K117" s="642">
        <f t="shared" ref="K117" si="52">G117/D117</f>
        <v>9000</v>
      </c>
      <c r="L117" s="522"/>
      <c r="M117" s="522"/>
      <c r="N117" s="522"/>
      <c r="O117" s="556"/>
    </row>
    <row r="118" spans="1:15" ht="18.75" thickBot="1" x14ac:dyDescent="0.3">
      <c r="A118" s="341"/>
      <c r="B118" s="342" t="s">
        <v>1399</v>
      </c>
      <c r="C118" s="343"/>
      <c r="D118" s="343"/>
      <c r="E118" s="343"/>
      <c r="F118" s="344"/>
      <c r="G118" s="344">
        <f>SUM(G109:G117)</f>
        <v>1170000</v>
      </c>
      <c r="H118" s="345">
        <f>SUM(H109:H117)</f>
        <v>1983.5887698358877</v>
      </c>
      <c r="I118" s="692">
        <f>SUM(I110:I117)</f>
        <v>33480</v>
      </c>
      <c r="J118" s="692">
        <f>SUM(J110:J117)</f>
        <v>44100</v>
      </c>
      <c r="K118" s="522"/>
      <c r="L118" s="522"/>
      <c r="M118" s="522"/>
      <c r="N118" s="522"/>
      <c r="O118" s="556"/>
    </row>
    <row r="119" spans="1:15" ht="18" x14ac:dyDescent="0.25">
      <c r="A119" s="205"/>
      <c r="B119" s="205" t="s">
        <v>402</v>
      </c>
      <c r="C119" s="205"/>
      <c r="D119" s="205"/>
      <c r="E119" s="205"/>
      <c r="F119" s="205"/>
      <c r="G119" s="205"/>
      <c r="H119" s="205"/>
      <c r="I119" s="523"/>
      <c r="J119" s="522"/>
      <c r="K119" s="522"/>
      <c r="L119" s="522"/>
      <c r="M119" s="522"/>
      <c r="N119" s="522"/>
      <c r="O119" s="556"/>
    </row>
    <row r="120" spans="1:15" x14ac:dyDescent="0.25">
      <c r="A120" s="188">
        <v>1</v>
      </c>
      <c r="B120" s="189" t="s">
        <v>806</v>
      </c>
      <c r="C120" s="225" t="s">
        <v>28</v>
      </c>
      <c r="D120" s="226">
        <v>3</v>
      </c>
      <c r="E120" s="225">
        <v>1</v>
      </c>
      <c r="F120" s="227">
        <v>2500</v>
      </c>
      <c r="G120" s="227">
        <f t="shared" ref="G120:G127" si="53">D120*E120*F120</f>
        <v>7500</v>
      </c>
      <c r="H120" s="268">
        <f t="shared" ref="H120:H127" si="54">G120/589.84</f>
        <v>12.715312627153125</v>
      </c>
      <c r="I120" s="642">
        <f t="shared" ref="I120:I127" si="55">G120*0.03</f>
        <v>225</v>
      </c>
      <c r="J120" s="642">
        <f>125*D120</f>
        <v>375</v>
      </c>
      <c r="K120" s="642">
        <f t="shared" ref="K120:K127" si="56">G120/D120</f>
        <v>2500</v>
      </c>
      <c r="L120" s="522"/>
      <c r="M120" s="522"/>
      <c r="N120" s="522"/>
      <c r="O120" s="556"/>
    </row>
    <row r="121" spans="1:15" x14ac:dyDescent="0.25">
      <c r="A121" s="188">
        <v>2</v>
      </c>
      <c r="B121" s="189" t="s">
        <v>807</v>
      </c>
      <c r="C121" s="225" t="s">
        <v>28</v>
      </c>
      <c r="D121" s="226">
        <v>8</v>
      </c>
      <c r="E121" s="225">
        <v>1</v>
      </c>
      <c r="F121" s="227">
        <v>2500</v>
      </c>
      <c r="G121" s="227">
        <f t="shared" si="53"/>
        <v>20000</v>
      </c>
      <c r="H121" s="268">
        <f t="shared" si="54"/>
        <v>33.907500339075</v>
      </c>
      <c r="I121" s="642">
        <f t="shared" si="55"/>
        <v>600</v>
      </c>
      <c r="J121" s="642">
        <f t="shared" ref="J121:J125" si="57">125*D121</f>
        <v>1000</v>
      </c>
      <c r="K121" s="642">
        <f t="shared" si="56"/>
        <v>2500</v>
      </c>
      <c r="L121" s="522"/>
      <c r="M121" s="522"/>
      <c r="N121" s="522"/>
      <c r="O121" s="556"/>
    </row>
    <row r="122" spans="1:15" x14ac:dyDescent="0.25">
      <c r="A122" s="188">
        <v>3</v>
      </c>
      <c r="B122" s="189" t="s">
        <v>808</v>
      </c>
      <c r="C122" s="225" t="s">
        <v>28</v>
      </c>
      <c r="D122" s="226">
        <v>2</v>
      </c>
      <c r="E122" s="225">
        <v>1</v>
      </c>
      <c r="F122" s="227">
        <v>2500</v>
      </c>
      <c r="G122" s="227">
        <f t="shared" si="53"/>
        <v>5000</v>
      </c>
      <c r="H122" s="268">
        <f t="shared" si="54"/>
        <v>8.47687508476875</v>
      </c>
      <c r="I122" s="642">
        <f t="shared" si="55"/>
        <v>150</v>
      </c>
      <c r="J122" s="642">
        <f t="shared" si="57"/>
        <v>250</v>
      </c>
      <c r="K122" s="642">
        <f t="shared" si="56"/>
        <v>2500</v>
      </c>
      <c r="L122" s="522"/>
      <c r="M122" s="522"/>
      <c r="N122" s="522"/>
      <c r="O122" s="556"/>
    </row>
    <row r="123" spans="1:15" x14ac:dyDescent="0.25">
      <c r="A123" s="188">
        <v>4</v>
      </c>
      <c r="B123" s="189" t="s">
        <v>809</v>
      </c>
      <c r="C123" s="225" t="s">
        <v>28</v>
      </c>
      <c r="D123" s="226">
        <v>5</v>
      </c>
      <c r="E123" s="225">
        <v>1</v>
      </c>
      <c r="F123" s="227">
        <v>2500</v>
      </c>
      <c r="G123" s="227">
        <f t="shared" si="53"/>
        <v>12500</v>
      </c>
      <c r="H123" s="268">
        <f t="shared" si="54"/>
        <v>21.192187711921875</v>
      </c>
      <c r="I123" s="642">
        <f t="shared" si="55"/>
        <v>375</v>
      </c>
      <c r="J123" s="642">
        <f t="shared" si="57"/>
        <v>625</v>
      </c>
      <c r="K123" s="642">
        <f t="shared" si="56"/>
        <v>2500</v>
      </c>
      <c r="L123" s="522"/>
      <c r="M123" s="522"/>
      <c r="N123" s="522"/>
      <c r="O123" s="556"/>
    </row>
    <row r="124" spans="1:15" x14ac:dyDescent="0.25">
      <c r="A124" s="188">
        <v>5</v>
      </c>
      <c r="B124" s="189" t="s">
        <v>810</v>
      </c>
      <c r="C124" s="225" t="s">
        <v>28</v>
      </c>
      <c r="D124" s="226">
        <v>5</v>
      </c>
      <c r="E124" s="225">
        <v>1</v>
      </c>
      <c r="F124" s="227">
        <v>2500</v>
      </c>
      <c r="G124" s="227">
        <f>D124*E124*F124</f>
        <v>12500</v>
      </c>
      <c r="H124" s="268">
        <f t="shared" si="54"/>
        <v>21.192187711921875</v>
      </c>
      <c r="I124" s="642">
        <f t="shared" si="55"/>
        <v>375</v>
      </c>
      <c r="J124" s="642">
        <f t="shared" si="57"/>
        <v>625</v>
      </c>
      <c r="K124" s="642">
        <f t="shared" si="56"/>
        <v>2500</v>
      </c>
      <c r="L124" s="522"/>
      <c r="M124" s="522"/>
      <c r="N124" s="522"/>
      <c r="O124" s="556"/>
    </row>
    <row r="125" spans="1:15" x14ac:dyDescent="0.25">
      <c r="A125" s="188">
        <v>6</v>
      </c>
      <c r="B125" s="189" t="s">
        <v>793</v>
      </c>
      <c r="C125" s="225" t="s">
        <v>28</v>
      </c>
      <c r="D125" s="226">
        <v>4</v>
      </c>
      <c r="E125" s="225">
        <v>1</v>
      </c>
      <c r="F125" s="227">
        <v>2500</v>
      </c>
      <c r="G125" s="227">
        <f t="shared" si="53"/>
        <v>10000</v>
      </c>
      <c r="H125" s="268">
        <f t="shared" si="54"/>
        <v>16.9537501695375</v>
      </c>
      <c r="I125" s="642">
        <f t="shared" si="55"/>
        <v>300</v>
      </c>
      <c r="J125" s="642">
        <f t="shared" si="57"/>
        <v>500</v>
      </c>
      <c r="K125" s="642">
        <f t="shared" si="56"/>
        <v>2500</v>
      </c>
      <c r="L125" s="522"/>
      <c r="M125" s="522"/>
      <c r="N125" s="522"/>
      <c r="O125" s="556"/>
    </row>
    <row r="126" spans="1:15" x14ac:dyDescent="0.25">
      <c r="A126" s="188">
        <v>7</v>
      </c>
      <c r="B126" s="189" t="s">
        <v>43</v>
      </c>
      <c r="C126" s="225" t="s">
        <v>28</v>
      </c>
      <c r="D126" s="226">
        <v>6</v>
      </c>
      <c r="E126" s="225">
        <v>1</v>
      </c>
      <c r="F126" s="227">
        <v>3000</v>
      </c>
      <c r="G126" s="227">
        <f t="shared" si="53"/>
        <v>18000</v>
      </c>
      <c r="H126" s="268">
        <f t="shared" si="54"/>
        <v>30.516750305167502</v>
      </c>
      <c r="I126" s="642">
        <f t="shared" si="55"/>
        <v>540</v>
      </c>
      <c r="J126" s="642">
        <f>250*D126</f>
        <v>1500</v>
      </c>
      <c r="K126" s="642">
        <f t="shared" si="56"/>
        <v>3000</v>
      </c>
      <c r="L126" s="522"/>
      <c r="M126" s="522"/>
      <c r="N126" s="522"/>
      <c r="O126" s="556"/>
    </row>
    <row r="127" spans="1:15" ht="16.5" thickBot="1" x14ac:dyDescent="0.3">
      <c r="A127" s="188">
        <v>8</v>
      </c>
      <c r="B127" s="189" t="s">
        <v>48</v>
      </c>
      <c r="C127" s="225" t="s">
        <v>28</v>
      </c>
      <c r="D127" s="226">
        <f>SUM(D120:D126)</f>
        <v>33</v>
      </c>
      <c r="E127" s="225">
        <v>1</v>
      </c>
      <c r="F127" s="227">
        <v>3000</v>
      </c>
      <c r="G127" s="227">
        <f t="shared" si="53"/>
        <v>99000</v>
      </c>
      <c r="H127" s="268">
        <f t="shared" si="54"/>
        <v>167.84212667842127</v>
      </c>
      <c r="I127" s="642">
        <f t="shared" si="55"/>
        <v>2970</v>
      </c>
      <c r="J127" s="642">
        <f>250*D127</f>
        <v>8250</v>
      </c>
      <c r="K127" s="642">
        <f t="shared" si="56"/>
        <v>3000</v>
      </c>
      <c r="L127" s="522"/>
      <c r="M127" s="522"/>
      <c r="N127" s="522"/>
      <c r="O127" s="556"/>
    </row>
    <row r="128" spans="1:15" ht="18.75" thickBot="1" x14ac:dyDescent="0.3">
      <c r="A128" s="341"/>
      <c r="B128" s="342" t="s">
        <v>1399</v>
      </c>
      <c r="C128" s="343"/>
      <c r="D128" s="343"/>
      <c r="E128" s="343"/>
      <c r="F128" s="344"/>
      <c r="G128" s="344">
        <f>SUM(G120:G127)</f>
        <v>184500</v>
      </c>
      <c r="H128" s="345">
        <f>SUM(H120:H127)</f>
        <v>312.79669062796688</v>
      </c>
      <c r="I128" s="692">
        <f>SUM(I120:I127)</f>
        <v>5535</v>
      </c>
      <c r="J128" s="692">
        <f>SUM(J120:J127)</f>
        <v>13125</v>
      </c>
      <c r="K128" s="642"/>
      <c r="L128" s="522"/>
      <c r="M128" s="522"/>
      <c r="N128" s="522"/>
      <c r="O128" s="556"/>
    </row>
    <row r="129" spans="1:15" ht="19.149999999999999" customHeight="1" thickBot="1" x14ac:dyDescent="0.3">
      <c r="A129" s="780" t="s">
        <v>523</v>
      </c>
      <c r="B129" s="781"/>
      <c r="C129" s="781"/>
      <c r="D129" s="781"/>
      <c r="E129" s="783"/>
      <c r="F129" s="348"/>
      <c r="G129" s="349"/>
      <c r="H129" s="350"/>
      <c r="I129" s="350"/>
      <c r="J129" s="350"/>
      <c r="K129" s="350"/>
      <c r="L129" s="522"/>
      <c r="M129" s="522"/>
      <c r="N129" s="522"/>
      <c r="O129" s="556"/>
    </row>
    <row r="130" spans="1:15" ht="18" x14ac:dyDescent="0.25">
      <c r="A130" s="205"/>
      <c r="B130" s="205" t="s">
        <v>403</v>
      </c>
      <c r="C130" s="205"/>
      <c r="D130" s="205"/>
      <c r="E130" s="205"/>
      <c r="F130" s="205"/>
      <c r="G130" s="205"/>
      <c r="H130" s="205"/>
      <c r="I130" s="205"/>
      <c r="J130" s="205"/>
      <c r="K130" s="205"/>
      <c r="L130" s="522"/>
      <c r="M130" s="522"/>
      <c r="N130" s="522"/>
      <c r="O130" s="556"/>
    </row>
    <row r="131" spans="1:15" x14ac:dyDescent="0.25">
      <c r="A131" s="188">
        <v>1</v>
      </c>
      <c r="B131" s="189" t="s">
        <v>822</v>
      </c>
      <c r="C131" s="225" t="s">
        <v>28</v>
      </c>
      <c r="D131" s="226">
        <v>1</v>
      </c>
      <c r="E131" s="225">
        <v>1</v>
      </c>
      <c r="F131" s="227">
        <v>8000</v>
      </c>
      <c r="G131" s="227">
        <f t="shared" ref="G131:G142" si="58">D131*E131*F131</f>
        <v>8000</v>
      </c>
      <c r="H131" s="268">
        <f t="shared" ref="H131:H146" si="59">G131/589.84</f>
        <v>13.56300013563</v>
      </c>
      <c r="I131" s="642">
        <f>G131*0.03</f>
        <v>240</v>
      </c>
      <c r="J131" s="642">
        <f>350*D131</f>
        <v>350</v>
      </c>
      <c r="K131" s="642">
        <f t="shared" ref="K131:K138" si="60">G131/D131</f>
        <v>8000</v>
      </c>
      <c r="L131" s="522"/>
      <c r="M131" s="522"/>
      <c r="N131" s="522"/>
      <c r="O131" s="556"/>
    </row>
    <row r="132" spans="1:15" x14ac:dyDescent="0.25">
      <c r="A132" s="188">
        <v>2</v>
      </c>
      <c r="B132" s="189" t="s">
        <v>821</v>
      </c>
      <c r="C132" s="225" t="s">
        <v>28</v>
      </c>
      <c r="D132" s="226">
        <v>1</v>
      </c>
      <c r="E132" s="225">
        <v>1</v>
      </c>
      <c r="F132" s="227">
        <v>5000</v>
      </c>
      <c r="G132" s="227">
        <f t="shared" si="58"/>
        <v>5000</v>
      </c>
      <c r="H132" s="268">
        <f t="shared" si="59"/>
        <v>8.47687508476875</v>
      </c>
      <c r="I132" s="642">
        <f t="shared" ref="I132:I138" si="61">G132*0.03</f>
        <v>150</v>
      </c>
      <c r="J132" s="642">
        <f>250*D132</f>
        <v>250</v>
      </c>
      <c r="K132" s="642">
        <f t="shared" si="60"/>
        <v>5000</v>
      </c>
      <c r="L132" s="522"/>
      <c r="M132" s="522"/>
      <c r="N132" s="522"/>
      <c r="O132" s="556"/>
    </row>
    <row r="133" spans="1:15" x14ac:dyDescent="0.25">
      <c r="A133" s="188">
        <v>3</v>
      </c>
      <c r="B133" s="189" t="s">
        <v>811</v>
      </c>
      <c r="C133" s="225" t="s">
        <v>28</v>
      </c>
      <c r="D133" s="226">
        <v>1</v>
      </c>
      <c r="E133" s="225">
        <v>1</v>
      </c>
      <c r="F133" s="227">
        <v>8000</v>
      </c>
      <c r="G133" s="227">
        <f t="shared" si="58"/>
        <v>8000</v>
      </c>
      <c r="H133" s="268">
        <f t="shared" si="59"/>
        <v>13.56300013563</v>
      </c>
      <c r="I133" s="642">
        <f t="shared" si="61"/>
        <v>240</v>
      </c>
      <c r="J133" s="642">
        <f t="shared" ref="J133:J136" si="62">350*D133</f>
        <v>350</v>
      </c>
      <c r="K133" s="642">
        <f t="shared" si="60"/>
        <v>8000</v>
      </c>
      <c r="L133" s="522"/>
      <c r="M133" s="522"/>
      <c r="N133" s="522"/>
      <c r="O133" s="556"/>
    </row>
    <row r="134" spans="1:15" x14ac:dyDescent="0.25">
      <c r="A134" s="188">
        <v>4</v>
      </c>
      <c r="B134" s="189" t="s">
        <v>812</v>
      </c>
      <c r="C134" s="225" t="s">
        <v>28</v>
      </c>
      <c r="D134" s="226">
        <v>1</v>
      </c>
      <c r="E134" s="225">
        <v>1</v>
      </c>
      <c r="F134" s="227">
        <v>8000</v>
      </c>
      <c r="G134" s="227">
        <f t="shared" si="58"/>
        <v>8000</v>
      </c>
      <c r="H134" s="268">
        <f t="shared" si="59"/>
        <v>13.56300013563</v>
      </c>
      <c r="I134" s="642">
        <f t="shared" si="61"/>
        <v>240</v>
      </c>
      <c r="J134" s="642">
        <f t="shared" si="62"/>
        <v>350</v>
      </c>
      <c r="K134" s="642">
        <f t="shared" si="60"/>
        <v>8000</v>
      </c>
      <c r="L134" s="522"/>
      <c r="M134" s="522"/>
      <c r="N134" s="522"/>
      <c r="O134" s="556"/>
    </row>
    <row r="135" spans="1:15" x14ac:dyDescent="0.25">
      <c r="A135" s="188">
        <v>5</v>
      </c>
      <c r="B135" s="189" t="s">
        <v>813</v>
      </c>
      <c r="C135" s="225" t="s">
        <v>28</v>
      </c>
      <c r="D135" s="226">
        <v>1</v>
      </c>
      <c r="E135" s="225">
        <v>1</v>
      </c>
      <c r="F135" s="227">
        <v>8000</v>
      </c>
      <c r="G135" s="227">
        <f t="shared" si="58"/>
        <v>8000</v>
      </c>
      <c r="H135" s="268">
        <f t="shared" si="59"/>
        <v>13.56300013563</v>
      </c>
      <c r="I135" s="642">
        <f t="shared" si="61"/>
        <v>240</v>
      </c>
      <c r="J135" s="642">
        <f t="shared" si="62"/>
        <v>350</v>
      </c>
      <c r="K135" s="642">
        <f t="shared" si="60"/>
        <v>8000</v>
      </c>
      <c r="L135" s="522"/>
      <c r="M135" s="522"/>
      <c r="N135" s="522"/>
      <c r="O135" s="556"/>
    </row>
    <row r="136" spans="1:15" x14ac:dyDescent="0.25">
      <c r="A136" s="188">
        <v>6</v>
      </c>
      <c r="B136" s="189" t="s">
        <v>814</v>
      </c>
      <c r="C136" s="225" t="s">
        <v>28</v>
      </c>
      <c r="D136" s="226">
        <v>1</v>
      </c>
      <c r="E136" s="225">
        <v>1</v>
      </c>
      <c r="F136" s="227">
        <v>8000</v>
      </c>
      <c r="G136" s="227">
        <f t="shared" si="58"/>
        <v>8000</v>
      </c>
      <c r="H136" s="268">
        <f t="shared" si="59"/>
        <v>13.56300013563</v>
      </c>
      <c r="I136" s="642">
        <f t="shared" si="61"/>
        <v>240</v>
      </c>
      <c r="J136" s="642">
        <f t="shared" si="62"/>
        <v>350</v>
      </c>
      <c r="K136" s="642">
        <f t="shared" si="60"/>
        <v>8000</v>
      </c>
      <c r="L136" s="522"/>
      <c r="M136" s="522"/>
      <c r="N136" s="522"/>
      <c r="O136" s="556"/>
    </row>
    <row r="137" spans="1:15" x14ac:dyDescent="0.25">
      <c r="A137" s="188">
        <v>15</v>
      </c>
      <c r="B137" s="189" t="s">
        <v>406</v>
      </c>
      <c r="C137" s="225" t="s">
        <v>28</v>
      </c>
      <c r="D137" s="226">
        <v>1</v>
      </c>
      <c r="E137" s="225">
        <v>1</v>
      </c>
      <c r="F137" s="227">
        <v>5000</v>
      </c>
      <c r="G137" s="227">
        <f t="shared" si="58"/>
        <v>5000</v>
      </c>
      <c r="H137" s="268">
        <f t="shared" si="59"/>
        <v>8.47687508476875</v>
      </c>
      <c r="I137" s="642">
        <f t="shared" si="61"/>
        <v>150</v>
      </c>
      <c r="J137" s="642">
        <f>250*D137</f>
        <v>250</v>
      </c>
      <c r="K137" s="642">
        <f t="shared" si="60"/>
        <v>5000</v>
      </c>
      <c r="L137" s="522"/>
      <c r="M137" s="522"/>
      <c r="N137" s="522"/>
      <c r="O137" s="556"/>
    </row>
    <row r="138" spans="1:15" x14ac:dyDescent="0.25">
      <c r="A138" s="188">
        <v>16</v>
      </c>
      <c r="B138" s="189" t="s">
        <v>407</v>
      </c>
      <c r="C138" s="225" t="s">
        <v>28</v>
      </c>
      <c r="D138" s="226">
        <v>2</v>
      </c>
      <c r="E138" s="225">
        <v>1</v>
      </c>
      <c r="F138" s="227">
        <v>5000</v>
      </c>
      <c r="G138" s="227">
        <f t="shared" si="58"/>
        <v>10000</v>
      </c>
      <c r="H138" s="268">
        <f t="shared" si="59"/>
        <v>16.9537501695375</v>
      </c>
      <c r="I138" s="642">
        <f t="shared" si="61"/>
        <v>300</v>
      </c>
      <c r="J138" s="642">
        <f t="shared" ref="J138:J139" si="63">250*D138</f>
        <v>500</v>
      </c>
      <c r="K138" s="642">
        <f t="shared" si="60"/>
        <v>5000</v>
      </c>
      <c r="L138" s="522"/>
      <c r="M138" s="522"/>
      <c r="N138" s="522"/>
      <c r="O138" s="556"/>
    </row>
    <row r="139" spans="1:15" x14ac:dyDescent="0.25">
      <c r="A139" s="188">
        <v>17</v>
      </c>
      <c r="B139" s="189" t="s">
        <v>408</v>
      </c>
      <c r="C139" s="225" t="s">
        <v>28</v>
      </c>
      <c r="D139" s="226">
        <v>8</v>
      </c>
      <c r="E139" s="225">
        <v>1</v>
      </c>
      <c r="F139" s="227">
        <v>5000</v>
      </c>
      <c r="G139" s="227">
        <f t="shared" si="58"/>
        <v>40000</v>
      </c>
      <c r="H139" s="268">
        <f t="shared" si="59"/>
        <v>67.81500067815</v>
      </c>
      <c r="I139" s="642">
        <f t="shared" ref="I139" si="64">G139*0.03</f>
        <v>1200</v>
      </c>
      <c r="J139" s="642">
        <f t="shared" si="63"/>
        <v>2000</v>
      </c>
      <c r="K139" s="642">
        <f t="shared" ref="K139" si="65">G139/D139</f>
        <v>5000</v>
      </c>
      <c r="L139" s="522"/>
      <c r="M139" s="522"/>
      <c r="N139" s="522"/>
      <c r="O139" s="556"/>
    </row>
    <row r="140" spans="1:15" x14ac:dyDescent="0.25">
      <c r="A140" s="188">
        <v>18</v>
      </c>
      <c r="B140" s="189" t="s">
        <v>425</v>
      </c>
      <c r="C140" s="225" t="s">
        <v>28</v>
      </c>
      <c r="D140" s="226">
        <v>2</v>
      </c>
      <c r="E140" s="225">
        <v>1</v>
      </c>
      <c r="F140" s="227">
        <v>0</v>
      </c>
      <c r="G140" s="227">
        <f t="shared" si="58"/>
        <v>0</v>
      </c>
      <c r="H140" s="268">
        <f t="shared" si="59"/>
        <v>0</v>
      </c>
      <c r="I140" s="642">
        <f t="shared" ref="I140:I143" si="66">G140*0.03</f>
        <v>0</v>
      </c>
      <c r="J140" s="642">
        <f t="shared" ref="J140" si="67">125*D140</f>
        <v>250</v>
      </c>
      <c r="K140" s="642">
        <f t="shared" ref="K140:K143" si="68">G140/D140</f>
        <v>0</v>
      </c>
      <c r="L140" s="522"/>
      <c r="M140" s="522"/>
      <c r="N140" s="522"/>
      <c r="O140" s="556"/>
    </row>
    <row r="141" spans="1:15" x14ac:dyDescent="0.25">
      <c r="A141" s="188">
        <v>19</v>
      </c>
      <c r="B141" s="189" t="s">
        <v>423</v>
      </c>
      <c r="C141" s="225" t="s">
        <v>28</v>
      </c>
      <c r="D141" s="226">
        <v>1</v>
      </c>
      <c r="E141" s="225">
        <v>1</v>
      </c>
      <c r="F141" s="227">
        <v>5000</v>
      </c>
      <c r="G141" s="227">
        <f t="shared" si="58"/>
        <v>5000</v>
      </c>
      <c r="H141" s="268">
        <f t="shared" si="59"/>
        <v>8.47687508476875</v>
      </c>
      <c r="I141" s="642">
        <f t="shared" si="66"/>
        <v>150</v>
      </c>
      <c r="J141" s="642">
        <f t="shared" ref="J141:J143" si="69">250*D141</f>
        <v>250</v>
      </c>
      <c r="K141" s="642">
        <f t="shared" si="68"/>
        <v>5000</v>
      </c>
      <c r="L141" s="522"/>
      <c r="M141" s="522"/>
      <c r="N141" s="522"/>
      <c r="O141" s="556"/>
    </row>
    <row r="142" spans="1:15" x14ac:dyDescent="0.25">
      <c r="A142" s="188">
        <v>20</v>
      </c>
      <c r="B142" s="189" t="s">
        <v>424</v>
      </c>
      <c r="C142" s="225" t="s">
        <v>28</v>
      </c>
      <c r="D142" s="226">
        <v>1</v>
      </c>
      <c r="E142" s="225">
        <v>1</v>
      </c>
      <c r="F142" s="227">
        <v>5000</v>
      </c>
      <c r="G142" s="227">
        <f t="shared" si="58"/>
        <v>5000</v>
      </c>
      <c r="H142" s="268">
        <f t="shared" si="59"/>
        <v>8.47687508476875</v>
      </c>
      <c r="I142" s="642">
        <f t="shared" si="66"/>
        <v>150</v>
      </c>
      <c r="J142" s="642">
        <f t="shared" si="69"/>
        <v>250</v>
      </c>
      <c r="K142" s="642">
        <f t="shared" si="68"/>
        <v>5000</v>
      </c>
      <c r="L142" s="522"/>
      <c r="M142" s="522"/>
      <c r="N142" s="522"/>
      <c r="O142" s="556"/>
    </row>
    <row r="143" spans="1:15" x14ac:dyDescent="0.25">
      <c r="A143" s="188">
        <v>21</v>
      </c>
      <c r="B143" s="189" t="s">
        <v>409</v>
      </c>
      <c r="C143" s="225" t="s">
        <v>28</v>
      </c>
      <c r="D143" s="226">
        <v>1</v>
      </c>
      <c r="E143" s="225">
        <v>1</v>
      </c>
      <c r="F143" s="227">
        <v>3000</v>
      </c>
      <c r="G143" s="227">
        <f>D143*E143*F143</f>
        <v>3000</v>
      </c>
      <c r="H143" s="268">
        <f t="shared" si="59"/>
        <v>5.0861250508612503</v>
      </c>
      <c r="I143" s="642">
        <f t="shared" si="66"/>
        <v>90</v>
      </c>
      <c r="J143" s="642">
        <f t="shared" si="69"/>
        <v>250</v>
      </c>
      <c r="K143" s="642">
        <f t="shared" si="68"/>
        <v>3000</v>
      </c>
      <c r="L143" s="522"/>
      <c r="M143" s="522"/>
      <c r="N143" s="522"/>
      <c r="O143" s="556"/>
    </row>
    <row r="144" spans="1:15" x14ac:dyDescent="0.25">
      <c r="A144" s="188">
        <v>22</v>
      </c>
      <c r="B144" s="189" t="s">
        <v>426</v>
      </c>
      <c r="C144" s="225" t="s">
        <v>28</v>
      </c>
      <c r="D144" s="226">
        <f>SUM(D131:D143)</f>
        <v>22</v>
      </c>
      <c r="E144" s="225">
        <v>1</v>
      </c>
      <c r="F144" s="227">
        <v>5000</v>
      </c>
      <c r="G144" s="227">
        <f>D144*E144*F144</f>
        <v>110000</v>
      </c>
      <c r="H144" s="268">
        <f t="shared" si="59"/>
        <v>186.4912518649125</v>
      </c>
      <c r="I144" s="642">
        <v>0</v>
      </c>
      <c r="J144" s="642">
        <v>0</v>
      </c>
      <c r="K144" s="642">
        <v>0</v>
      </c>
      <c r="L144" s="522"/>
      <c r="M144" s="522"/>
      <c r="N144" s="522"/>
      <c r="O144" s="556"/>
    </row>
    <row r="145" spans="1:74" x14ac:dyDescent="0.25">
      <c r="A145" s="188">
        <v>23</v>
      </c>
      <c r="B145" s="189" t="s">
        <v>410</v>
      </c>
      <c r="C145" s="225" t="s">
        <v>28</v>
      </c>
      <c r="D145" s="226">
        <v>5</v>
      </c>
      <c r="E145" s="225">
        <v>2</v>
      </c>
      <c r="F145" s="227">
        <v>1500</v>
      </c>
      <c r="G145" s="227">
        <f>D145*E145*F145</f>
        <v>15000</v>
      </c>
      <c r="H145" s="268">
        <f t="shared" si="59"/>
        <v>25.43062525430625</v>
      </c>
      <c r="I145" s="642">
        <v>0</v>
      </c>
      <c r="J145" s="642">
        <v>0</v>
      </c>
      <c r="K145" s="642">
        <v>0</v>
      </c>
      <c r="L145" s="522"/>
      <c r="M145" s="522"/>
      <c r="N145" s="522"/>
      <c r="O145" s="556"/>
    </row>
    <row r="146" spans="1:74" ht="16.5" thickBot="1" x14ac:dyDescent="0.3">
      <c r="A146" s="370">
        <v>24</v>
      </c>
      <c r="B146" s="189" t="s">
        <v>432</v>
      </c>
      <c r="C146" s="225" t="s">
        <v>17</v>
      </c>
      <c r="D146" s="226">
        <v>20</v>
      </c>
      <c r="E146" s="225">
        <v>1</v>
      </c>
      <c r="F146" s="227">
        <v>800</v>
      </c>
      <c r="G146" s="227">
        <f>D146*E146*F146</f>
        <v>16000</v>
      </c>
      <c r="H146" s="268">
        <f t="shared" si="59"/>
        <v>27.126000271260001</v>
      </c>
      <c r="I146" s="642">
        <v>0</v>
      </c>
      <c r="J146" s="642">
        <v>0</v>
      </c>
      <c r="K146" s="642">
        <v>0</v>
      </c>
      <c r="L146" s="522"/>
      <c r="M146" s="522"/>
      <c r="N146" s="522"/>
      <c r="O146" s="556"/>
    </row>
    <row r="147" spans="1:74" ht="19.149999999999999" customHeight="1" thickBot="1" x14ac:dyDescent="0.3">
      <c r="A147" s="780" t="s">
        <v>527</v>
      </c>
      <c r="B147" s="781"/>
      <c r="C147" s="781"/>
      <c r="D147" s="781"/>
      <c r="E147" s="783"/>
      <c r="F147" s="348"/>
      <c r="G147" s="349">
        <f>SUM(G131:G146)</f>
        <v>254000</v>
      </c>
      <c r="H147" s="350">
        <f>SUM(H131:H146)</f>
        <v>430.62525430625254</v>
      </c>
      <c r="I147" s="692">
        <f>SUM(I131:I146)</f>
        <v>3390</v>
      </c>
      <c r="J147" s="692">
        <f>SUM(J131:J146)</f>
        <v>5750</v>
      </c>
      <c r="K147" s="522"/>
      <c r="L147" s="522"/>
      <c r="M147" s="522"/>
      <c r="N147" s="522"/>
      <c r="O147" s="556"/>
    </row>
    <row r="148" spans="1:74" ht="18" x14ac:dyDescent="0.25">
      <c r="A148" s="231"/>
      <c r="B148" s="234" t="s">
        <v>427</v>
      </c>
      <c r="C148" s="232"/>
      <c r="D148" s="232"/>
      <c r="E148" s="232"/>
      <c r="F148" s="232"/>
      <c r="G148" s="232"/>
      <c r="H148" s="232"/>
      <c r="I148" s="523"/>
      <c r="J148" s="522"/>
      <c r="K148" s="522"/>
      <c r="L148" s="522"/>
      <c r="M148" s="522"/>
      <c r="N148" s="522"/>
      <c r="O148" s="556"/>
    </row>
    <row r="149" spans="1:74" ht="18" x14ac:dyDescent="0.25">
      <c r="A149" s="205"/>
      <c r="B149" s="205" t="s">
        <v>433</v>
      </c>
      <c r="C149" s="205"/>
      <c r="D149" s="205"/>
      <c r="E149" s="205"/>
      <c r="F149" s="205"/>
      <c r="G149" s="205"/>
      <c r="H149" s="205"/>
      <c r="I149" s="205"/>
      <c r="J149" s="205"/>
      <c r="K149" s="205"/>
      <c r="L149" s="522"/>
      <c r="M149" s="522"/>
      <c r="N149" s="522"/>
      <c r="O149" s="556"/>
    </row>
    <row r="150" spans="1:74" x14ac:dyDescent="0.25">
      <c r="A150" s="188">
        <v>1</v>
      </c>
      <c r="B150" s="189" t="s">
        <v>815</v>
      </c>
      <c r="C150" s="225" t="s">
        <v>28</v>
      </c>
      <c r="D150" s="225">
        <v>23</v>
      </c>
      <c r="E150" s="225">
        <v>1</v>
      </c>
      <c r="F150" s="227">
        <f>7500-5000</f>
        <v>2500</v>
      </c>
      <c r="G150" s="227">
        <f t="shared" ref="G150:G159" si="70">D150*E150*F150</f>
        <v>57500</v>
      </c>
      <c r="H150" s="268">
        <f t="shared" ref="H150:H159" si="71">G150/589.84</f>
        <v>97.484063474840625</v>
      </c>
      <c r="I150" s="642">
        <f t="shared" ref="I150" si="72">G150*0.03</f>
        <v>1725</v>
      </c>
      <c r="J150" s="642">
        <f>125*D150</f>
        <v>2875</v>
      </c>
      <c r="K150" s="642">
        <f t="shared" ref="K150" si="73">G150/D150</f>
        <v>2500</v>
      </c>
      <c r="L150" s="522"/>
      <c r="M150" s="522"/>
      <c r="N150" s="522"/>
      <c r="O150" s="556"/>
    </row>
    <row r="151" spans="1:74" x14ac:dyDescent="0.25">
      <c r="A151" s="188">
        <v>2</v>
      </c>
      <c r="B151" s="189" t="s">
        <v>816</v>
      </c>
      <c r="C151" s="225" t="s">
        <v>28</v>
      </c>
      <c r="D151" s="225">
        <v>54</v>
      </c>
      <c r="E151" s="225">
        <v>1</v>
      </c>
      <c r="F151" s="227">
        <f t="shared" ref="F151:F155" si="74">7500-5000</f>
        <v>2500</v>
      </c>
      <c r="G151" s="227">
        <f t="shared" si="70"/>
        <v>135000</v>
      </c>
      <c r="H151" s="268">
        <f t="shared" si="71"/>
        <v>228.87562728875625</v>
      </c>
      <c r="I151" s="642">
        <f t="shared" ref="I151:I159" si="75">G151*0.03</f>
        <v>4050</v>
      </c>
      <c r="J151" s="642">
        <f t="shared" ref="J151:J155" si="76">125*D151</f>
        <v>6750</v>
      </c>
      <c r="K151" s="642">
        <f t="shared" ref="K151:K156" si="77">G151/D151</f>
        <v>2500</v>
      </c>
      <c r="L151" s="522"/>
      <c r="M151" s="522"/>
      <c r="N151" s="522"/>
      <c r="O151" s="556"/>
    </row>
    <row r="152" spans="1:74" x14ac:dyDescent="0.25">
      <c r="A152" s="188">
        <v>3</v>
      </c>
      <c r="B152" s="189" t="s">
        <v>817</v>
      </c>
      <c r="C152" s="225" t="s">
        <v>28</v>
      </c>
      <c r="D152" s="225">
        <v>14</v>
      </c>
      <c r="E152" s="225">
        <v>1</v>
      </c>
      <c r="F152" s="227">
        <f t="shared" si="74"/>
        <v>2500</v>
      </c>
      <c r="G152" s="227">
        <f t="shared" si="70"/>
        <v>35000</v>
      </c>
      <c r="H152" s="268">
        <f t="shared" si="71"/>
        <v>59.33812559338125</v>
      </c>
      <c r="I152" s="642">
        <f t="shared" si="75"/>
        <v>1050</v>
      </c>
      <c r="J152" s="642">
        <f t="shared" si="76"/>
        <v>1750</v>
      </c>
      <c r="K152" s="642">
        <f t="shared" si="77"/>
        <v>2500</v>
      </c>
      <c r="L152" s="522"/>
      <c r="M152" s="522"/>
      <c r="N152" s="522"/>
      <c r="O152" s="556"/>
    </row>
    <row r="153" spans="1:74" x14ac:dyDescent="0.25">
      <c r="A153" s="188">
        <v>4</v>
      </c>
      <c r="B153" s="189" t="s">
        <v>818</v>
      </c>
      <c r="C153" s="225" t="s">
        <v>28</v>
      </c>
      <c r="D153" s="225">
        <v>26</v>
      </c>
      <c r="E153" s="225">
        <v>1</v>
      </c>
      <c r="F153" s="227">
        <f t="shared" si="74"/>
        <v>2500</v>
      </c>
      <c r="G153" s="227">
        <f t="shared" si="70"/>
        <v>65000</v>
      </c>
      <c r="H153" s="268">
        <f t="shared" si="71"/>
        <v>110.19937610199375</v>
      </c>
      <c r="I153" s="642">
        <f t="shared" si="75"/>
        <v>1950</v>
      </c>
      <c r="J153" s="642">
        <f t="shared" si="76"/>
        <v>3250</v>
      </c>
      <c r="K153" s="642">
        <f t="shared" si="77"/>
        <v>2500</v>
      </c>
      <c r="L153" s="522"/>
      <c r="M153" s="522"/>
      <c r="N153" s="522"/>
      <c r="O153" s="556"/>
    </row>
    <row r="154" spans="1:74" x14ac:dyDescent="0.25">
      <c r="A154" s="188">
        <v>5</v>
      </c>
      <c r="B154" s="189" t="s">
        <v>819</v>
      </c>
      <c r="C154" s="225" t="s">
        <v>28</v>
      </c>
      <c r="D154" s="225">
        <v>24</v>
      </c>
      <c r="E154" s="225">
        <v>1</v>
      </c>
      <c r="F154" s="227">
        <f t="shared" si="74"/>
        <v>2500</v>
      </c>
      <c r="G154" s="227">
        <f t="shared" si="70"/>
        <v>60000</v>
      </c>
      <c r="H154" s="268">
        <f t="shared" si="71"/>
        <v>101.722501017225</v>
      </c>
      <c r="I154" s="642">
        <f t="shared" si="75"/>
        <v>1800</v>
      </c>
      <c r="J154" s="642">
        <f t="shared" si="76"/>
        <v>3000</v>
      </c>
      <c r="K154" s="642">
        <f t="shared" si="77"/>
        <v>2500</v>
      </c>
      <c r="L154" s="522"/>
      <c r="M154" s="522"/>
      <c r="N154" s="522"/>
      <c r="O154" s="556"/>
    </row>
    <row r="155" spans="1:74" x14ac:dyDescent="0.25">
      <c r="A155" s="188">
        <v>6</v>
      </c>
      <c r="B155" s="189" t="s">
        <v>820</v>
      </c>
      <c r="C155" s="225" t="s">
        <v>28</v>
      </c>
      <c r="D155" s="225">
        <v>20</v>
      </c>
      <c r="E155" s="225">
        <v>1</v>
      </c>
      <c r="F155" s="227">
        <f t="shared" si="74"/>
        <v>2500</v>
      </c>
      <c r="G155" s="227">
        <f t="shared" si="70"/>
        <v>50000</v>
      </c>
      <c r="H155" s="268">
        <f t="shared" si="71"/>
        <v>84.7687508476875</v>
      </c>
      <c r="I155" s="642">
        <f t="shared" si="75"/>
        <v>1500</v>
      </c>
      <c r="J155" s="642">
        <f t="shared" si="76"/>
        <v>2500</v>
      </c>
      <c r="K155" s="642">
        <f t="shared" si="77"/>
        <v>2500</v>
      </c>
      <c r="L155" s="522"/>
      <c r="M155" s="522"/>
      <c r="N155" s="522"/>
      <c r="O155" s="556"/>
    </row>
    <row r="156" spans="1:74" s="34" customFormat="1" x14ac:dyDescent="0.25">
      <c r="A156" s="188">
        <v>7</v>
      </c>
      <c r="B156" s="189" t="s">
        <v>429</v>
      </c>
      <c r="C156" s="225" t="s">
        <v>28</v>
      </c>
      <c r="D156" s="225">
        <v>6</v>
      </c>
      <c r="E156" s="225">
        <v>1</v>
      </c>
      <c r="F156" s="227">
        <v>3000</v>
      </c>
      <c r="G156" s="227">
        <f t="shared" si="70"/>
        <v>18000</v>
      </c>
      <c r="H156" s="268">
        <f t="shared" si="71"/>
        <v>30.516750305167502</v>
      </c>
      <c r="I156" s="642">
        <f t="shared" si="75"/>
        <v>540</v>
      </c>
      <c r="J156" s="642">
        <f>250*D156</f>
        <v>1500</v>
      </c>
      <c r="K156" s="642">
        <f t="shared" si="77"/>
        <v>3000</v>
      </c>
      <c r="L156" s="522"/>
      <c r="M156" s="522"/>
      <c r="N156" s="522"/>
      <c r="O156" s="5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</row>
    <row r="157" spans="1:74" s="34" customFormat="1" x14ac:dyDescent="0.25">
      <c r="A157" s="188">
        <v>8</v>
      </c>
      <c r="B157" s="189" t="s">
        <v>430</v>
      </c>
      <c r="C157" s="225" t="s">
        <v>28</v>
      </c>
      <c r="D157" s="225">
        <v>0</v>
      </c>
      <c r="E157" s="225">
        <v>2</v>
      </c>
      <c r="F157" s="227">
        <v>25000</v>
      </c>
      <c r="G157" s="227">
        <f t="shared" si="70"/>
        <v>0</v>
      </c>
      <c r="H157" s="268">
        <f t="shared" si="71"/>
        <v>0</v>
      </c>
      <c r="I157" s="642">
        <f t="shared" si="75"/>
        <v>0</v>
      </c>
      <c r="J157" s="642">
        <f t="shared" ref="J157:J159" si="78">1050*D157</f>
        <v>0</v>
      </c>
      <c r="K157" s="642">
        <v>0</v>
      </c>
      <c r="L157" s="522"/>
      <c r="M157" s="522"/>
      <c r="N157" s="522"/>
      <c r="O157" s="556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</row>
    <row r="158" spans="1:74" s="34" customFormat="1" x14ac:dyDescent="0.25">
      <c r="A158" s="188">
        <v>9</v>
      </c>
      <c r="B158" s="189" t="s">
        <v>431</v>
      </c>
      <c r="C158" s="225" t="s">
        <v>30</v>
      </c>
      <c r="D158" s="225">
        <v>0</v>
      </c>
      <c r="E158" s="225">
        <v>1</v>
      </c>
      <c r="F158" s="227">
        <v>850</v>
      </c>
      <c r="G158" s="227">
        <f t="shared" si="70"/>
        <v>0</v>
      </c>
      <c r="H158" s="268">
        <f t="shared" si="71"/>
        <v>0</v>
      </c>
      <c r="I158" s="642">
        <f t="shared" si="75"/>
        <v>0</v>
      </c>
      <c r="J158" s="642">
        <f t="shared" si="78"/>
        <v>0</v>
      </c>
      <c r="K158" s="642">
        <v>0</v>
      </c>
      <c r="L158" s="522"/>
      <c r="M158" s="522"/>
      <c r="N158" s="522"/>
      <c r="O158" s="556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</row>
    <row r="159" spans="1:74" s="34" customFormat="1" ht="16.5" thickBot="1" x14ac:dyDescent="0.3">
      <c r="A159" s="188">
        <v>10</v>
      </c>
      <c r="B159" s="189" t="s">
        <v>432</v>
      </c>
      <c r="C159" s="225" t="s">
        <v>17</v>
      </c>
      <c r="D159" s="225">
        <v>0</v>
      </c>
      <c r="E159" s="225">
        <v>1</v>
      </c>
      <c r="F159" s="227">
        <v>800</v>
      </c>
      <c r="G159" s="227">
        <f t="shared" si="70"/>
        <v>0</v>
      </c>
      <c r="H159" s="268">
        <f t="shared" si="71"/>
        <v>0</v>
      </c>
      <c r="I159" s="642">
        <f t="shared" si="75"/>
        <v>0</v>
      </c>
      <c r="J159" s="642">
        <f t="shared" si="78"/>
        <v>0</v>
      </c>
      <c r="K159" s="642">
        <v>0</v>
      </c>
      <c r="L159" s="522"/>
      <c r="M159" s="522"/>
      <c r="N159" s="522"/>
      <c r="O159" s="556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</row>
    <row r="160" spans="1:74" s="34" customFormat="1" ht="18.75" thickBot="1" x14ac:dyDescent="0.3">
      <c r="A160" s="341"/>
      <c r="B160" s="342" t="s">
        <v>1399</v>
      </c>
      <c r="C160" s="343"/>
      <c r="D160" s="343"/>
      <c r="E160" s="343"/>
      <c r="F160" s="344"/>
      <c r="G160" s="344">
        <f>SUM(G150:G159)</f>
        <v>420500</v>
      </c>
      <c r="H160" s="449">
        <f>SUM(H150:H159)</f>
        <v>712.90519462905195</v>
      </c>
      <c r="I160" s="692">
        <f>SUM(I150:I159)</f>
        <v>12615</v>
      </c>
      <c r="J160" s="692">
        <f>SUM(J150:J159)</f>
        <v>21625</v>
      </c>
      <c r="K160" s="522"/>
      <c r="L160" s="522"/>
      <c r="M160" s="522"/>
      <c r="N160" s="522"/>
      <c r="O160" s="556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</row>
    <row r="161" spans="1:74" s="48" customFormat="1" ht="18" x14ac:dyDescent="0.25">
      <c r="A161" s="18"/>
      <c r="B161" s="18" t="s">
        <v>1389</v>
      </c>
      <c r="C161" s="18"/>
      <c r="D161" s="18"/>
      <c r="E161" s="18"/>
      <c r="F161" s="18"/>
      <c r="G161" s="18"/>
      <c r="H161" s="18"/>
      <c r="I161" s="523"/>
      <c r="J161" s="522"/>
      <c r="K161" s="522"/>
      <c r="L161" s="522"/>
      <c r="M161" s="522"/>
      <c r="N161" s="522"/>
      <c r="O161" s="572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</row>
    <row r="162" spans="1:74" s="48" customFormat="1" ht="16.5" thickBot="1" x14ac:dyDescent="0.3">
      <c r="A162" s="411">
        <v>1</v>
      </c>
      <c r="B162" s="413" t="s">
        <v>1388</v>
      </c>
      <c r="C162" s="404" t="s">
        <v>28</v>
      </c>
      <c r="D162" s="403">
        <v>15</v>
      </c>
      <c r="E162" s="404">
        <v>1</v>
      </c>
      <c r="F162" s="405">
        <v>5000</v>
      </c>
      <c r="G162" s="405">
        <f t="shared" ref="G162:G163" si="79">D162*E162*F162</f>
        <v>75000</v>
      </c>
      <c r="H162" s="450">
        <f t="shared" ref="H162:H163" si="80">G162/589.84</f>
        <v>127.15312627153125</v>
      </c>
      <c r="I162" s="642">
        <f t="shared" ref="I162:I163" si="81">G162*0.03</f>
        <v>2250</v>
      </c>
      <c r="J162" s="642">
        <f>250*D162</f>
        <v>3750</v>
      </c>
      <c r="K162" s="642">
        <f t="shared" ref="K162:K163" si="82">G162/D162</f>
        <v>5000</v>
      </c>
      <c r="L162" s="522"/>
      <c r="M162" s="522"/>
      <c r="N162" s="522"/>
      <c r="O162" s="57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</row>
    <row r="163" spans="1:74" s="48" customFormat="1" ht="16.5" thickBot="1" x14ac:dyDescent="0.3">
      <c r="A163" s="188">
        <v>2</v>
      </c>
      <c r="B163" s="413" t="s">
        <v>1474</v>
      </c>
      <c r="C163" s="404" t="s">
        <v>1475</v>
      </c>
      <c r="D163" s="403">
        <v>2</v>
      </c>
      <c r="E163" s="404">
        <v>1</v>
      </c>
      <c r="F163" s="405">
        <v>50000</v>
      </c>
      <c r="G163" s="405">
        <f t="shared" si="79"/>
        <v>100000</v>
      </c>
      <c r="H163" s="409">
        <f t="shared" si="80"/>
        <v>169.537501695375</v>
      </c>
      <c r="I163" s="642">
        <f t="shared" si="81"/>
        <v>3000</v>
      </c>
      <c r="J163" s="642">
        <f>1050*D163</f>
        <v>2100</v>
      </c>
      <c r="K163" s="642">
        <f t="shared" si="82"/>
        <v>50000</v>
      </c>
      <c r="L163" s="522"/>
      <c r="M163" s="522"/>
      <c r="N163" s="522"/>
      <c r="O163" s="572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</row>
    <row r="164" spans="1:74" ht="18.75" thickBot="1" x14ac:dyDescent="0.3">
      <c r="A164" s="341"/>
      <c r="B164" s="342" t="s">
        <v>1422</v>
      </c>
      <c r="C164" s="343"/>
      <c r="D164" s="343"/>
      <c r="E164" s="343"/>
      <c r="F164" s="344"/>
      <c r="G164" s="344">
        <f>SUM(G162:G163)</f>
        <v>175000</v>
      </c>
      <c r="H164" s="345">
        <f>SUM(H162:H163)</f>
        <v>296.69062796690628</v>
      </c>
      <c r="I164" s="692">
        <f>SUM(I162:I163)</f>
        <v>5250</v>
      </c>
      <c r="J164" s="692">
        <f>SUM(J162:J163)</f>
        <v>5850</v>
      </c>
      <c r="K164" s="12"/>
      <c r="L164" s="12"/>
      <c r="M164" s="12"/>
      <c r="N164" s="12"/>
      <c r="O164" s="524"/>
    </row>
    <row r="165" spans="1:74" s="48" customFormat="1" ht="15" customHeight="1" x14ac:dyDescent="0.25">
      <c r="A165" s="411">
        <v>1</v>
      </c>
      <c r="B165" s="417" t="s">
        <v>434</v>
      </c>
      <c r="C165" s="404"/>
      <c r="D165" s="403">
        <v>1</v>
      </c>
      <c r="E165" s="404">
        <v>1</v>
      </c>
      <c r="F165" s="405">
        <v>100000</v>
      </c>
      <c r="G165" s="405">
        <f t="shared" ref="G165" si="83">D165*E165*F165</f>
        <v>100000</v>
      </c>
      <c r="H165" s="450">
        <f t="shared" ref="H165" si="84">G165/589.84</f>
        <v>169.537501695375</v>
      </c>
      <c r="I165" s="642">
        <f t="shared" ref="I165" si="85">G165*0.03</f>
        <v>3000</v>
      </c>
      <c r="J165" s="642">
        <f>1600*D165</f>
        <v>1600</v>
      </c>
      <c r="K165" s="642">
        <f t="shared" ref="K165" si="86">G165/D165</f>
        <v>100000</v>
      </c>
      <c r="L165" s="522"/>
      <c r="M165" s="522"/>
      <c r="N165" s="522"/>
      <c r="O165" s="531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</row>
    <row r="166" spans="1:74" s="48" customFormat="1" ht="18" x14ac:dyDescent="0.25">
      <c r="A166" s="18"/>
      <c r="B166" s="18" t="s">
        <v>1390</v>
      </c>
      <c r="C166" s="18"/>
      <c r="D166" s="18"/>
      <c r="E166" s="18"/>
      <c r="F166" s="18"/>
      <c r="G166" s="18"/>
      <c r="H166" s="18"/>
      <c r="I166" s="523"/>
      <c r="J166" s="522"/>
      <c r="K166" s="522"/>
      <c r="L166" s="522"/>
      <c r="M166" s="522"/>
      <c r="N166" s="522"/>
      <c r="O166" s="572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</row>
    <row r="167" spans="1:74" s="48" customFormat="1" x14ac:dyDescent="0.25">
      <c r="A167" s="411">
        <v>1</v>
      </c>
      <c r="B167" s="575" t="s">
        <v>1391</v>
      </c>
      <c r="C167" s="575" t="s">
        <v>17</v>
      </c>
      <c r="D167" s="576">
        <v>200</v>
      </c>
      <c r="E167" s="576">
        <v>1</v>
      </c>
      <c r="F167" s="227">
        <v>800</v>
      </c>
      <c r="G167" s="424">
        <f>+D167*E167*F167</f>
        <v>160000</v>
      </c>
      <c r="H167" s="435">
        <f>+G167/589.84</f>
        <v>271.2600027126</v>
      </c>
      <c r="I167" s="528"/>
      <c r="J167" s="529"/>
      <c r="K167" s="529"/>
      <c r="L167" s="529"/>
      <c r="M167" s="529"/>
      <c r="N167" s="529"/>
      <c r="O167" s="573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</row>
    <row r="168" spans="1:74" s="430" customFormat="1" x14ac:dyDescent="0.25">
      <c r="A168" s="411">
        <v>2</v>
      </c>
      <c r="B168" s="577" t="s">
        <v>1339</v>
      </c>
      <c r="C168" s="577" t="s">
        <v>28</v>
      </c>
      <c r="D168" s="578">
        <v>1</v>
      </c>
      <c r="E168" s="578">
        <v>1</v>
      </c>
      <c r="F168" s="227">
        <v>8000</v>
      </c>
      <c r="G168" s="25">
        <f t="shared" ref="G168:G169" si="87">+D168*E168*F168</f>
        <v>8000</v>
      </c>
      <c r="H168" s="435">
        <f t="shared" ref="H168:H169" si="88">+G168/589.84</f>
        <v>13.56300013563</v>
      </c>
      <c r="I168" s="642">
        <f t="shared" ref="I168:I169" si="89">G168*0.03</f>
        <v>240</v>
      </c>
      <c r="J168" s="642">
        <f>350*D168</f>
        <v>350</v>
      </c>
      <c r="K168" s="642">
        <f t="shared" ref="K168:K169" si="90">G168/D168</f>
        <v>8000</v>
      </c>
      <c r="L168" s="501"/>
      <c r="M168" s="501"/>
      <c r="N168" s="501"/>
      <c r="O168" s="565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</row>
    <row r="169" spans="1:74" s="430" customFormat="1" ht="16.5" thickBot="1" x14ac:dyDescent="0.3">
      <c r="A169" s="411">
        <v>3</v>
      </c>
      <c r="B169" s="577" t="s">
        <v>1394</v>
      </c>
      <c r="C169" s="577" t="s">
        <v>28</v>
      </c>
      <c r="D169" s="578">
        <v>1</v>
      </c>
      <c r="E169" s="578">
        <v>1</v>
      </c>
      <c r="F169" s="227">
        <v>8000</v>
      </c>
      <c r="G169" s="25">
        <f t="shared" si="87"/>
        <v>8000</v>
      </c>
      <c r="H169" s="435">
        <f t="shared" si="88"/>
        <v>13.56300013563</v>
      </c>
      <c r="I169" s="642">
        <f t="shared" si="89"/>
        <v>240</v>
      </c>
      <c r="J169" s="642">
        <f>350*D169</f>
        <v>350</v>
      </c>
      <c r="K169" s="642">
        <f t="shared" si="90"/>
        <v>8000</v>
      </c>
      <c r="L169" s="501"/>
      <c r="M169" s="501"/>
      <c r="N169" s="501"/>
      <c r="O169" s="565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</row>
    <row r="170" spans="1:74" s="34" customFormat="1" ht="18.75" thickBot="1" x14ac:dyDescent="0.3">
      <c r="A170" s="341"/>
      <c r="B170" s="342" t="s">
        <v>1399</v>
      </c>
      <c r="C170" s="343"/>
      <c r="D170" s="343"/>
      <c r="E170" s="343"/>
      <c r="F170" s="344"/>
      <c r="G170" s="344">
        <f>SUM(G161:G165)</f>
        <v>450000</v>
      </c>
      <c r="H170" s="428">
        <f>SUM(H161:H165)</f>
        <v>762.91875762918755</v>
      </c>
      <c r="I170" s="692">
        <f>SUM(I168:I169)</f>
        <v>480</v>
      </c>
      <c r="J170" s="692">
        <f>SUM(J168:J169)</f>
        <v>700</v>
      </c>
      <c r="K170" s="542"/>
      <c r="L170" s="542"/>
      <c r="M170" s="542"/>
      <c r="N170" s="542"/>
      <c r="O170" s="531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</row>
    <row r="171" spans="1:74" s="34" customFormat="1" ht="24" thickBot="1" x14ac:dyDescent="0.4">
      <c r="A171" s="784" t="s">
        <v>91</v>
      </c>
      <c r="B171" s="785"/>
      <c r="C171" s="785"/>
      <c r="D171" s="785"/>
      <c r="E171" s="786"/>
      <c r="F171" s="351"/>
      <c r="G171" s="352">
        <f>(G170+G165+G164+G160+G147+G128+G118+G107+G84+G62+G51+G44+G37+G30+G23+G16)</f>
        <v>22333000</v>
      </c>
      <c r="H171" s="445">
        <f>(H170+H165+H164+H160+H147+H128+H118+H107+H84+H62+H51+H44+H37+H30+H23+H16)</f>
        <v>37727.180252271806</v>
      </c>
      <c r="I171" s="352">
        <f>I16+I23+I30+I37+I44+I51+I62+I84+I107+I118+I128+I147+I160+I164+I165+I170</f>
        <v>551925</v>
      </c>
      <c r="J171" s="352">
        <f>J16+J23+J30+J37+J44+J51+J62+J84+J107+J118+J128+J147+J160+J164+J165+J170</f>
        <v>435000</v>
      </c>
      <c r="K171" s="542"/>
      <c r="L171" s="542"/>
      <c r="M171" s="542"/>
      <c r="N171" s="542"/>
      <c r="O171" s="53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</row>
    <row r="172" spans="1:74" s="34" customFormat="1" x14ac:dyDescent="0.25">
      <c r="A172" s="238"/>
      <c r="B172" s="238"/>
      <c r="C172" s="238"/>
      <c r="D172" s="237"/>
      <c r="E172" s="237"/>
      <c r="F172" s="237"/>
      <c r="G172" s="237"/>
      <c r="H172" s="237"/>
      <c r="I172" s="564"/>
      <c r="J172" s="564"/>
      <c r="K172" s="564"/>
      <c r="L172" s="564"/>
      <c r="M172" s="564"/>
      <c r="N172" s="564"/>
      <c r="O172" s="564"/>
      <c r="P172"/>
      <c r="Q172"/>
      <c r="R172"/>
      <c r="S172"/>
      <c r="T172"/>
      <c r="U172"/>
      <c r="V172"/>
      <c r="W172"/>
      <c r="X172"/>
      <c r="Y172"/>
      <c r="Z172"/>
    </row>
    <row r="173" spans="1:74" s="34" customFormat="1" x14ac:dyDescent="0.25">
      <c r="A173" s="238" t="s">
        <v>1535</v>
      </c>
      <c r="B173" s="238"/>
      <c r="C173" s="237"/>
      <c r="D173" s="237"/>
      <c r="E173" s="237"/>
      <c r="F173" s="237"/>
      <c r="G173" s="237"/>
      <c r="H173" s="237"/>
      <c r="I173" s="564"/>
      <c r="J173" s="564"/>
      <c r="K173" s="564"/>
      <c r="L173" s="564"/>
      <c r="M173" s="564"/>
      <c r="N173" s="564"/>
      <c r="O173" s="564"/>
      <c r="P173"/>
      <c r="Q173"/>
      <c r="R173"/>
      <c r="S173"/>
      <c r="T173"/>
      <c r="U173"/>
      <c r="V173"/>
      <c r="W173"/>
      <c r="X173"/>
      <c r="Y173"/>
      <c r="Z173"/>
    </row>
    <row r="174" spans="1:74" s="34" customFormat="1" x14ac:dyDescent="0.25">
      <c r="A174" s="238" t="s">
        <v>1538</v>
      </c>
      <c r="B174" s="238"/>
      <c r="C174" s="237"/>
      <c r="D174" s="237"/>
      <c r="E174" s="237"/>
      <c r="F174" s="237"/>
      <c r="G174" s="237"/>
      <c r="H174" s="237"/>
      <c r="I174" s="564"/>
      <c r="J174" s="564"/>
      <c r="K174" s="564"/>
      <c r="L174" s="564"/>
      <c r="M174" s="564"/>
      <c r="N174" s="564"/>
      <c r="O174" s="564"/>
      <c r="P174"/>
      <c r="Q174"/>
      <c r="R174"/>
      <c r="S174"/>
      <c r="T174"/>
      <c r="U174"/>
      <c r="V174"/>
      <c r="W174"/>
      <c r="X174"/>
      <c r="Y174"/>
      <c r="Z174"/>
    </row>
    <row r="175" spans="1:74" s="34" customFormat="1" x14ac:dyDescent="0.25">
      <c r="A175" s="238"/>
      <c r="B175" s="238"/>
      <c r="C175" s="237"/>
      <c r="D175" s="237"/>
      <c r="E175" s="237"/>
      <c r="F175" s="237"/>
      <c r="G175" s="237"/>
      <c r="H175" s="237"/>
      <c r="I175" s="564"/>
      <c r="J175" s="564"/>
      <c r="K175" s="564"/>
      <c r="L175" s="564"/>
      <c r="M175" s="564"/>
      <c r="N175" s="564"/>
      <c r="O175" s="564"/>
      <c r="P175"/>
      <c r="Q175"/>
      <c r="R175"/>
      <c r="S175"/>
      <c r="T175"/>
      <c r="U175"/>
      <c r="V175"/>
      <c r="W175"/>
      <c r="X175"/>
      <c r="Y175"/>
      <c r="Z175"/>
    </row>
    <row r="176" spans="1:74" s="34" customFormat="1" x14ac:dyDescent="0.25">
      <c r="A176" s="238" t="s">
        <v>1331</v>
      </c>
      <c r="B176" s="238"/>
      <c r="C176" s="237"/>
      <c r="D176" s="237"/>
      <c r="E176" s="237"/>
      <c r="F176" s="237"/>
      <c r="G176" s="237"/>
      <c r="H176" s="237"/>
      <c r="I176" s="564" t="s">
        <v>1536</v>
      </c>
      <c r="J176" s="564"/>
      <c r="K176" s="564"/>
      <c r="L176" s="564"/>
      <c r="M176" s="564" t="s">
        <v>1530</v>
      </c>
      <c r="N176" s="564"/>
      <c r="O176" s="564"/>
      <c r="P176"/>
      <c r="Q176"/>
      <c r="R176"/>
      <c r="S176"/>
      <c r="T176"/>
      <c r="U176"/>
      <c r="V176"/>
      <c r="W176"/>
      <c r="X176"/>
      <c r="Y176"/>
      <c r="Z176"/>
    </row>
    <row r="177" spans="1:26" s="34" customFormat="1" x14ac:dyDescent="0.25">
      <c r="A177" s="237"/>
      <c r="B177" s="239"/>
      <c r="C177" s="237"/>
      <c r="D177" s="237"/>
      <c r="E177" s="237"/>
      <c r="F177" s="237"/>
      <c r="G177" s="237"/>
      <c r="H177" s="237"/>
      <c r="I177" s="564"/>
      <c r="J177" s="564"/>
      <c r="K177" s="564"/>
      <c r="L177" s="564"/>
      <c r="M177" s="564"/>
      <c r="N177" s="564"/>
      <c r="O177" s="564"/>
      <c r="P177"/>
      <c r="Q177"/>
      <c r="R177"/>
      <c r="S177"/>
      <c r="T177"/>
      <c r="U177"/>
      <c r="V177"/>
      <c r="W177"/>
      <c r="X177"/>
      <c r="Y177"/>
      <c r="Z177"/>
    </row>
    <row r="178" spans="1:26" s="34" customFormat="1" x14ac:dyDescent="0.25">
      <c r="A178" s="240" t="s">
        <v>1537</v>
      </c>
      <c r="B178" s="241"/>
      <c r="C178" s="240"/>
      <c r="D178" s="240"/>
      <c r="E178" s="240"/>
      <c r="F178" s="240"/>
      <c r="G178" s="240"/>
      <c r="H178" s="237"/>
      <c r="I178" s="564"/>
      <c r="J178" s="564"/>
      <c r="K178" s="564"/>
      <c r="L178" s="564"/>
      <c r="M178" s="564"/>
      <c r="N178" s="564"/>
      <c r="O178" s="564"/>
      <c r="P178"/>
      <c r="Q178"/>
      <c r="R178"/>
      <c r="S178"/>
      <c r="T178"/>
      <c r="U178"/>
      <c r="V178"/>
      <c r="W178"/>
      <c r="X178"/>
      <c r="Y178"/>
      <c r="Z178"/>
    </row>
    <row r="179" spans="1:26" s="34" customFormat="1" x14ac:dyDescent="0.25">
      <c r="A179" s="240"/>
      <c r="B179" s="241"/>
      <c r="C179" s="240"/>
      <c r="D179" s="240"/>
      <c r="E179" s="240"/>
      <c r="F179" s="240"/>
      <c r="G179" s="237"/>
      <c r="H179" s="237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x14ac:dyDescent="0.25">
      <c r="B180" s="121"/>
    </row>
    <row r="181" spans="1:26" x14ac:dyDescent="0.25">
      <c r="B181" s="121"/>
    </row>
    <row r="182" spans="1:26" x14ac:dyDescent="0.25">
      <c r="B182" s="121"/>
    </row>
    <row r="183" spans="1:26" x14ac:dyDescent="0.25">
      <c r="B183" s="121"/>
    </row>
    <row r="184" spans="1:26" x14ac:dyDescent="0.25">
      <c r="B184" s="121"/>
    </row>
    <row r="185" spans="1:26" x14ac:dyDescent="0.25">
      <c r="B185" s="121"/>
    </row>
    <row r="186" spans="1:26" x14ac:dyDescent="0.25">
      <c r="B186" s="121"/>
    </row>
  </sheetData>
  <mergeCells count="7">
    <mergeCell ref="O7:O8"/>
    <mergeCell ref="A171:E171"/>
    <mergeCell ref="A147:E147"/>
    <mergeCell ref="A7:F7"/>
    <mergeCell ref="A63:E63"/>
    <mergeCell ref="A129:E129"/>
    <mergeCell ref="A84:E8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2AF22A"/>
  </sheetPr>
  <dimension ref="A1:Z305"/>
  <sheetViews>
    <sheetView topLeftCell="A104" zoomScale="80" zoomScaleNormal="80" workbookViewId="0">
      <selection activeCell="J128" sqref="J128"/>
    </sheetView>
  </sheetViews>
  <sheetFormatPr baseColWidth="10" defaultColWidth="10.625" defaultRowHeight="15.75" x14ac:dyDescent="0.25"/>
  <cols>
    <col min="1" max="1" width="8.5" style="48" customWidth="1"/>
    <col min="2" max="2" width="57.375" style="48" customWidth="1"/>
    <col min="3" max="3" width="20" style="48" customWidth="1"/>
    <col min="4" max="4" width="11.5" style="48" customWidth="1"/>
    <col min="5" max="5" width="12.375" style="48" customWidth="1"/>
    <col min="6" max="6" width="17" style="48" customWidth="1"/>
    <col min="7" max="7" width="22.125" style="48" customWidth="1"/>
    <col min="8" max="8" width="17.625" customWidth="1"/>
    <col min="9" max="9" width="19.375" customWidth="1"/>
    <col min="10" max="10" width="21.875" customWidth="1"/>
    <col min="11" max="11" width="14.75" customWidth="1"/>
    <col min="12" max="63" width="8.875" customWidth="1"/>
  </cols>
  <sheetData>
    <row r="1" spans="1:15" x14ac:dyDescent="0.25">
      <c r="A1" s="207" t="s">
        <v>1344</v>
      </c>
      <c r="B1" s="207"/>
      <c r="C1" s="207"/>
      <c r="D1" s="207"/>
      <c r="E1" s="207"/>
      <c r="F1" s="207"/>
      <c r="G1" s="207"/>
      <c r="H1" s="207"/>
      <c r="I1" s="556"/>
      <c r="J1" s="208"/>
      <c r="K1" s="208"/>
      <c r="L1" s="208"/>
      <c r="M1" s="208"/>
      <c r="N1" s="208"/>
      <c r="O1" s="208"/>
    </row>
    <row r="2" spans="1:15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556"/>
      <c r="J2" s="208"/>
      <c r="K2" s="208"/>
      <c r="L2" s="208"/>
      <c r="M2" s="208"/>
      <c r="N2" s="208"/>
      <c r="O2" s="208"/>
    </row>
    <row r="3" spans="1:15" x14ac:dyDescent="0.25">
      <c r="A3" s="207" t="s">
        <v>1520</v>
      </c>
      <c r="B3" s="207"/>
      <c r="C3" s="207"/>
      <c r="D3" s="207"/>
      <c r="E3" s="207"/>
      <c r="F3" s="207"/>
      <c r="G3" s="207"/>
      <c r="H3" s="207"/>
      <c r="I3" s="556"/>
      <c r="J3" s="208"/>
      <c r="K3" s="208"/>
      <c r="L3" s="208"/>
      <c r="M3" s="208"/>
      <c r="N3" s="208"/>
      <c r="O3" s="208"/>
    </row>
    <row r="4" spans="1:15" x14ac:dyDescent="0.25">
      <c r="A4" s="207" t="s">
        <v>1</v>
      </c>
      <c r="B4" s="207"/>
      <c r="C4" s="207"/>
      <c r="D4" s="207"/>
      <c r="E4" s="207"/>
      <c r="F4" s="207"/>
      <c r="G4" s="207"/>
      <c r="H4" s="207"/>
      <c r="I4" s="556"/>
      <c r="J4" s="208"/>
      <c r="K4" s="208"/>
      <c r="L4" s="208"/>
      <c r="M4" s="208"/>
      <c r="N4" s="208"/>
      <c r="O4" s="208"/>
    </row>
    <row r="5" spans="1:15" x14ac:dyDescent="0.25">
      <c r="A5" s="207" t="s">
        <v>485</v>
      </c>
      <c r="B5" s="207"/>
      <c r="C5" s="209">
        <f>G268</f>
        <v>54293500</v>
      </c>
      <c r="D5" s="207"/>
      <c r="E5" s="207"/>
      <c r="F5" s="207"/>
      <c r="G5" s="207"/>
      <c r="H5" s="207"/>
      <c r="I5" s="556"/>
      <c r="J5" s="208"/>
      <c r="K5" s="208"/>
      <c r="L5" s="208"/>
      <c r="M5" s="208"/>
      <c r="N5" s="208"/>
      <c r="O5" s="208"/>
    </row>
    <row r="6" spans="1:15" ht="16.5" thickBot="1" x14ac:dyDescent="0.3">
      <c r="A6" s="207" t="s">
        <v>1539</v>
      </c>
      <c r="B6" s="207"/>
      <c r="C6" s="207"/>
      <c r="D6" s="207"/>
      <c r="E6" s="207"/>
      <c r="F6" s="207"/>
      <c r="G6" s="207"/>
      <c r="H6" s="207"/>
      <c r="I6" s="556"/>
      <c r="J6" s="208"/>
      <c r="K6" s="208"/>
      <c r="L6" s="208"/>
      <c r="M6" s="208"/>
      <c r="N6" s="208"/>
      <c r="O6" s="208"/>
    </row>
    <row r="7" spans="1:15" ht="17.25" customHeight="1" thickBot="1" x14ac:dyDescent="0.3">
      <c r="A7" s="773" t="s">
        <v>3</v>
      </c>
      <c r="B7" s="774"/>
      <c r="C7" s="774"/>
      <c r="D7" s="774"/>
      <c r="E7" s="774"/>
      <c r="F7" s="806"/>
      <c r="G7" s="210"/>
      <c r="H7" s="537"/>
      <c r="I7" s="534" t="s">
        <v>4</v>
      </c>
      <c r="J7" s="534"/>
      <c r="K7" s="535"/>
      <c r="L7" s="535"/>
      <c r="M7" s="535"/>
      <c r="N7" s="536"/>
      <c r="O7" s="803" t="s">
        <v>5</v>
      </c>
    </row>
    <row r="8" spans="1:15" ht="61.5" thickBot="1" x14ac:dyDescent="0.3">
      <c r="A8" s="211" t="s">
        <v>6</v>
      </c>
      <c r="B8" s="212" t="s">
        <v>7</v>
      </c>
      <c r="C8" s="212" t="s">
        <v>8</v>
      </c>
      <c r="D8" s="213" t="s">
        <v>9</v>
      </c>
      <c r="E8" s="212" t="s">
        <v>10</v>
      </c>
      <c r="F8" s="213" t="s">
        <v>11</v>
      </c>
      <c r="G8" s="214" t="s">
        <v>12</v>
      </c>
      <c r="H8" s="214" t="s">
        <v>1532</v>
      </c>
      <c r="I8" s="695" t="s">
        <v>1613</v>
      </c>
      <c r="J8" s="696" t="s">
        <v>1624</v>
      </c>
      <c r="K8" s="10"/>
      <c r="L8" s="540" t="s">
        <v>14</v>
      </c>
      <c r="M8" s="540" t="s">
        <v>15</v>
      </c>
      <c r="N8" s="541" t="s">
        <v>16</v>
      </c>
      <c r="O8" s="804"/>
    </row>
    <row r="9" spans="1:15" x14ac:dyDescent="0.25">
      <c r="A9" s="201"/>
      <c r="B9" s="202"/>
      <c r="C9" s="202"/>
      <c r="D9" s="203"/>
      <c r="E9" s="202"/>
      <c r="F9" s="203"/>
      <c r="G9" s="204"/>
      <c r="H9" s="339"/>
      <c r="I9" s="10"/>
      <c r="J9" s="10"/>
      <c r="K9" s="10"/>
      <c r="L9" s="540"/>
      <c r="M9" s="540"/>
      <c r="N9" s="541"/>
      <c r="O9" s="216"/>
    </row>
    <row r="10" spans="1:15" x14ac:dyDescent="0.25">
      <c r="A10" s="22">
        <v>1</v>
      </c>
      <c r="B10" s="26" t="s">
        <v>528</v>
      </c>
      <c r="C10" s="23" t="s">
        <v>28</v>
      </c>
      <c r="D10" s="24">
        <v>6</v>
      </c>
      <c r="E10" s="23">
        <v>10</v>
      </c>
      <c r="F10" s="25">
        <v>7500</v>
      </c>
      <c r="G10" s="346">
        <f>D10*E10*F10</f>
        <v>450000</v>
      </c>
      <c r="H10" s="515">
        <f>G10/589.84</f>
        <v>762.91875762918755</v>
      </c>
      <c r="I10" s="689">
        <f>G10*0.03</f>
        <v>13500</v>
      </c>
      <c r="J10" s="642">
        <f>1600*D10</f>
        <v>9600</v>
      </c>
      <c r="K10" s="642">
        <f t="shared" ref="K10:K15" si="0">G10/D10</f>
        <v>75000</v>
      </c>
      <c r="L10" s="522"/>
      <c r="M10" s="522"/>
      <c r="N10" s="522"/>
      <c r="O10" s="224"/>
    </row>
    <row r="11" spans="1:15" x14ac:dyDescent="0.25">
      <c r="A11" s="22">
        <v>2</v>
      </c>
      <c r="B11" s="26" t="s">
        <v>529</v>
      </c>
      <c r="C11" s="23" t="s">
        <v>28</v>
      </c>
      <c r="D11" s="24">
        <v>3</v>
      </c>
      <c r="E11" s="23">
        <v>10</v>
      </c>
      <c r="F11" s="25">
        <v>3000</v>
      </c>
      <c r="G11" s="25">
        <f t="shared" ref="G11:G15" si="1">D11*E11*F11</f>
        <v>90000</v>
      </c>
      <c r="H11" s="268">
        <f t="shared" ref="H11:H15" si="2">G11/589.84</f>
        <v>152.5837515258375</v>
      </c>
      <c r="I11" s="642">
        <f t="shared" ref="I11:I15" si="3">G11*0.03</f>
        <v>2700</v>
      </c>
      <c r="J11" s="642">
        <f>1050*D11</f>
        <v>3150</v>
      </c>
      <c r="K11" s="642">
        <f t="shared" si="0"/>
        <v>30000</v>
      </c>
      <c r="L11" s="501"/>
      <c r="M11" s="501"/>
      <c r="N11" s="501"/>
      <c r="O11" s="501"/>
    </row>
    <row r="12" spans="1:15" x14ac:dyDescent="0.25">
      <c r="A12" s="22">
        <v>3</v>
      </c>
      <c r="B12" s="26" t="s">
        <v>530</v>
      </c>
      <c r="C12" s="23" t="s">
        <v>28</v>
      </c>
      <c r="D12" s="24">
        <v>1</v>
      </c>
      <c r="E12" s="23">
        <v>10</v>
      </c>
      <c r="F12" s="25">
        <v>7500</v>
      </c>
      <c r="G12" s="25">
        <f t="shared" si="1"/>
        <v>75000</v>
      </c>
      <c r="H12" s="268">
        <f t="shared" si="2"/>
        <v>127.15312627153125</v>
      </c>
      <c r="I12" s="642">
        <f t="shared" si="3"/>
        <v>2250</v>
      </c>
      <c r="J12" s="642">
        <f>1600*D12</f>
        <v>1600</v>
      </c>
      <c r="K12" s="642">
        <f t="shared" si="0"/>
        <v>75000</v>
      </c>
      <c r="L12" s="501"/>
      <c r="M12" s="501"/>
      <c r="N12" s="501"/>
      <c r="O12" s="501"/>
    </row>
    <row r="13" spans="1:15" x14ac:dyDescent="0.25">
      <c r="A13" s="22">
        <v>4</v>
      </c>
      <c r="B13" s="26" t="s">
        <v>1365</v>
      </c>
      <c r="C13" s="23" t="s">
        <v>28</v>
      </c>
      <c r="D13" s="24">
        <v>3</v>
      </c>
      <c r="E13" s="23">
        <v>7</v>
      </c>
      <c r="F13" s="407">
        <v>3000</v>
      </c>
      <c r="G13" s="25">
        <f t="shared" si="1"/>
        <v>63000</v>
      </c>
      <c r="H13" s="268">
        <f t="shared" si="2"/>
        <v>106.80862606808626</v>
      </c>
      <c r="I13" s="642">
        <f t="shared" si="3"/>
        <v>1890</v>
      </c>
      <c r="J13" s="642">
        <f>550*D13</f>
        <v>1650</v>
      </c>
      <c r="K13" s="642">
        <f t="shared" si="0"/>
        <v>21000</v>
      </c>
      <c r="L13" s="501"/>
      <c r="M13" s="501"/>
      <c r="N13" s="501"/>
      <c r="O13" s="501"/>
    </row>
    <row r="14" spans="1:15" x14ac:dyDescent="0.25">
      <c r="A14" s="22">
        <v>5</v>
      </c>
      <c r="B14" s="26" t="s">
        <v>1345</v>
      </c>
      <c r="C14" s="23" t="s">
        <v>28</v>
      </c>
      <c r="D14" s="24">
        <v>1</v>
      </c>
      <c r="E14" s="23">
        <v>10</v>
      </c>
      <c r="F14" s="227">
        <v>8000</v>
      </c>
      <c r="G14" s="25">
        <f t="shared" ref="G14" si="4">D14*E14*F14</f>
        <v>80000</v>
      </c>
      <c r="H14" s="268">
        <f t="shared" ref="H14" si="5">G14/589.84</f>
        <v>135.6300013563</v>
      </c>
      <c r="I14" s="642">
        <f t="shared" si="3"/>
        <v>2400</v>
      </c>
      <c r="J14" s="642">
        <f>1600*D14</f>
        <v>1600</v>
      </c>
      <c r="K14" s="642">
        <f t="shared" si="0"/>
        <v>80000</v>
      </c>
      <c r="L14" s="501"/>
      <c r="M14" s="501"/>
      <c r="N14" s="501"/>
      <c r="O14" s="501"/>
    </row>
    <row r="15" spans="1:15" ht="16.5" thickBot="1" x14ac:dyDescent="0.3">
      <c r="A15" s="22">
        <v>6</v>
      </c>
      <c r="B15" s="26" t="s">
        <v>531</v>
      </c>
      <c r="C15" s="23" t="s">
        <v>28</v>
      </c>
      <c r="D15" s="24">
        <v>1</v>
      </c>
      <c r="E15" s="23">
        <v>10</v>
      </c>
      <c r="F15" s="25">
        <v>8000</v>
      </c>
      <c r="G15" s="25">
        <f t="shared" si="1"/>
        <v>80000</v>
      </c>
      <c r="H15" s="268">
        <f t="shared" si="2"/>
        <v>135.6300013563</v>
      </c>
      <c r="I15" s="642">
        <f t="shared" si="3"/>
        <v>2400</v>
      </c>
      <c r="J15" s="642">
        <f>1600*D15</f>
        <v>1600</v>
      </c>
      <c r="K15" s="642">
        <f t="shared" si="0"/>
        <v>80000</v>
      </c>
      <c r="L15" s="501"/>
      <c r="M15" s="501"/>
      <c r="N15" s="501"/>
      <c r="O15" s="501"/>
    </row>
    <row r="16" spans="1:15" ht="18.75" thickBot="1" x14ac:dyDescent="0.3">
      <c r="A16" s="341"/>
      <c r="B16" s="342" t="s">
        <v>1399</v>
      </c>
      <c r="C16" s="343"/>
      <c r="D16" s="343"/>
      <c r="E16" s="343"/>
      <c r="F16" s="344"/>
      <c r="G16" s="344">
        <f>SUM(G10:G15)</f>
        <v>838000</v>
      </c>
      <c r="H16" s="516">
        <f>SUM(H10:H15)</f>
        <v>1420.7242642072424</v>
      </c>
      <c r="I16" s="263">
        <f>SUM(I10:I15)</f>
        <v>25140</v>
      </c>
      <c r="J16" s="263">
        <f>SUM(J10:J15)</f>
        <v>19200</v>
      </c>
      <c r="K16" s="12"/>
      <c r="L16" s="501"/>
      <c r="M16" s="501"/>
      <c r="N16" s="501"/>
      <c r="O16" s="501"/>
    </row>
    <row r="17" spans="1:15" ht="16.5" thickBot="1" x14ac:dyDescent="0.3">
      <c r="A17" s="22">
        <v>1</v>
      </c>
      <c r="B17" s="26" t="s">
        <v>532</v>
      </c>
      <c r="C17" s="23" t="s">
        <v>28</v>
      </c>
      <c r="D17" s="24">
        <v>20</v>
      </c>
      <c r="E17" s="23">
        <v>10</v>
      </c>
      <c r="F17" s="25">
        <v>7500</v>
      </c>
      <c r="G17" s="25">
        <f>D17*E17*F17</f>
        <v>1500000</v>
      </c>
      <c r="H17" s="544">
        <f>G17/589.84</f>
        <v>2543.0625254306251</v>
      </c>
      <c r="I17" s="689">
        <f t="shared" ref="I17:I22" si="6">G17*0.03</f>
        <v>45000</v>
      </c>
      <c r="J17" s="642">
        <f>1600*D17</f>
        <v>32000</v>
      </c>
      <c r="K17" s="642">
        <f t="shared" ref="K17:K22" si="7">G17/D17</f>
        <v>75000</v>
      </c>
      <c r="L17" s="501"/>
      <c r="M17" s="501"/>
      <c r="N17" s="501"/>
      <c r="O17" s="565"/>
    </row>
    <row r="18" spans="1:15" x14ac:dyDescent="0.25">
      <c r="A18" s="22">
        <v>2</v>
      </c>
      <c r="B18" s="26" t="s">
        <v>533</v>
      </c>
      <c r="C18" s="23" t="s">
        <v>28</v>
      </c>
      <c r="D18" s="24">
        <v>10</v>
      </c>
      <c r="E18" s="23">
        <v>10</v>
      </c>
      <c r="F18" s="25">
        <v>3000</v>
      </c>
      <c r="G18" s="25">
        <f t="shared" ref="G18:G22" si="8">D18*E18*F18</f>
        <v>300000</v>
      </c>
      <c r="H18" s="268">
        <f t="shared" ref="H18:H22" si="9">G18/589.84</f>
        <v>508.612505086125</v>
      </c>
      <c r="I18" s="642">
        <f t="shared" si="6"/>
        <v>9000</v>
      </c>
      <c r="J18" s="642">
        <f>1050*D18</f>
        <v>10500</v>
      </c>
      <c r="K18" s="642">
        <f t="shared" si="7"/>
        <v>30000</v>
      </c>
      <c r="L18" s="501"/>
      <c r="M18" s="501"/>
      <c r="N18" s="501"/>
      <c r="O18" s="565"/>
    </row>
    <row r="19" spans="1:15" x14ac:dyDescent="0.25">
      <c r="A19" s="22">
        <v>3</v>
      </c>
      <c r="B19" s="26" t="s">
        <v>534</v>
      </c>
      <c r="C19" s="23" t="s">
        <v>28</v>
      </c>
      <c r="D19" s="24">
        <v>1</v>
      </c>
      <c r="E19" s="23">
        <v>10</v>
      </c>
      <c r="F19" s="25">
        <v>7500</v>
      </c>
      <c r="G19" s="25">
        <f t="shared" si="8"/>
        <v>75000</v>
      </c>
      <c r="H19" s="268">
        <f t="shared" si="9"/>
        <v>127.15312627153125</v>
      </c>
      <c r="I19" s="642">
        <f t="shared" si="6"/>
        <v>2250</v>
      </c>
      <c r="J19" s="642">
        <f>1600*D19</f>
        <v>1600</v>
      </c>
      <c r="K19" s="642">
        <f t="shared" si="7"/>
        <v>75000</v>
      </c>
      <c r="L19" s="501"/>
      <c r="M19" s="501"/>
      <c r="N19" s="501"/>
      <c r="O19" s="565"/>
    </row>
    <row r="20" spans="1:15" x14ac:dyDescent="0.25">
      <c r="A20" s="22">
        <v>4</v>
      </c>
      <c r="B20" s="26" t="s">
        <v>1365</v>
      </c>
      <c r="C20" s="23" t="s">
        <v>28</v>
      </c>
      <c r="D20" s="24">
        <v>57</v>
      </c>
      <c r="E20" s="23">
        <v>7</v>
      </c>
      <c r="F20" s="407">
        <v>3000</v>
      </c>
      <c r="G20" s="25">
        <f t="shared" si="8"/>
        <v>1197000</v>
      </c>
      <c r="H20" s="268">
        <f t="shared" si="9"/>
        <v>2029.3638952936387</v>
      </c>
      <c r="I20" s="642">
        <f t="shared" si="6"/>
        <v>35910</v>
      </c>
      <c r="J20" s="642">
        <f>550*D20</f>
        <v>31350</v>
      </c>
      <c r="K20" s="642">
        <f t="shared" si="7"/>
        <v>21000</v>
      </c>
      <c r="L20" s="501"/>
      <c r="M20" s="501"/>
      <c r="N20" s="501"/>
      <c r="O20" s="565"/>
    </row>
    <row r="21" spans="1:15" x14ac:dyDescent="0.25">
      <c r="A21" s="22">
        <v>5</v>
      </c>
      <c r="B21" s="26" t="s">
        <v>1345</v>
      </c>
      <c r="C21" s="23" t="s">
        <v>28</v>
      </c>
      <c r="D21" s="24">
        <v>1</v>
      </c>
      <c r="E21" s="23">
        <v>10</v>
      </c>
      <c r="F21" s="227">
        <v>8000</v>
      </c>
      <c r="G21" s="25">
        <f t="shared" ref="G21" si="10">D21*E21*F21</f>
        <v>80000</v>
      </c>
      <c r="H21" s="268">
        <f t="shared" ref="H21" si="11">G21/589.84</f>
        <v>135.6300013563</v>
      </c>
      <c r="I21" s="642">
        <f t="shared" si="6"/>
        <v>2400</v>
      </c>
      <c r="J21" s="642">
        <f>1600*D21</f>
        <v>1600</v>
      </c>
      <c r="K21" s="642">
        <f t="shared" si="7"/>
        <v>80000</v>
      </c>
      <c r="L21" s="501"/>
      <c r="M21" s="501"/>
      <c r="N21" s="501"/>
      <c r="O21" s="565"/>
    </row>
    <row r="22" spans="1:15" ht="16.5" thickBot="1" x14ac:dyDescent="0.3">
      <c r="A22" s="22">
        <v>6</v>
      </c>
      <c r="B22" s="26" t="s">
        <v>535</v>
      </c>
      <c r="C22" s="23" t="s">
        <v>28</v>
      </c>
      <c r="D22" s="24">
        <v>2</v>
      </c>
      <c r="E22" s="23">
        <v>10</v>
      </c>
      <c r="F22" s="25">
        <v>8000</v>
      </c>
      <c r="G22" s="25">
        <f t="shared" si="8"/>
        <v>160000</v>
      </c>
      <c r="H22" s="268">
        <f t="shared" si="9"/>
        <v>271.2600027126</v>
      </c>
      <c r="I22" s="642">
        <f t="shared" si="6"/>
        <v>4800</v>
      </c>
      <c r="J22" s="642">
        <f>1600*D22</f>
        <v>3200</v>
      </c>
      <c r="K22" s="642">
        <f t="shared" si="7"/>
        <v>80000</v>
      </c>
      <c r="L22" s="501"/>
      <c r="M22" s="501"/>
      <c r="N22" s="501"/>
      <c r="O22" s="565"/>
    </row>
    <row r="23" spans="1:15" ht="18.75" thickBot="1" x14ac:dyDescent="0.3">
      <c r="A23" s="341"/>
      <c r="B23" s="342" t="s">
        <v>1399</v>
      </c>
      <c r="C23" s="343"/>
      <c r="D23" s="343"/>
      <c r="E23" s="343"/>
      <c r="F23" s="344"/>
      <c r="G23" s="344">
        <f>SUM(G17:G22)</f>
        <v>3312000</v>
      </c>
      <c r="H23" s="516">
        <f>SUM(H17:H22)</f>
        <v>5615.0820561508199</v>
      </c>
      <c r="I23" s="263">
        <f>SUM(I17:I22)</f>
        <v>99360</v>
      </c>
      <c r="J23" s="263">
        <f>SUM(J17:J22)</f>
        <v>80250</v>
      </c>
      <c r="K23" s="12"/>
      <c r="L23" s="501"/>
      <c r="M23" s="501"/>
      <c r="N23" s="501"/>
      <c r="O23" s="565"/>
    </row>
    <row r="24" spans="1:15" ht="16.5" thickBot="1" x14ac:dyDescent="0.3">
      <c r="A24" s="22">
        <v>1</v>
      </c>
      <c r="B24" s="26" t="s">
        <v>536</v>
      </c>
      <c r="C24" s="23" t="s">
        <v>28</v>
      </c>
      <c r="D24" s="24">
        <v>40</v>
      </c>
      <c r="E24" s="23">
        <v>10</v>
      </c>
      <c r="F24" s="25">
        <v>7500</v>
      </c>
      <c r="G24" s="25">
        <f>D24*E24*F24</f>
        <v>3000000</v>
      </c>
      <c r="H24" s="544">
        <f>G24/589.84</f>
        <v>5086.1250508612502</v>
      </c>
      <c r="I24" s="642">
        <f t="shared" ref="I24:I29" si="12">G24*0.03</f>
        <v>90000</v>
      </c>
      <c r="J24" s="642">
        <f>1600*D24</f>
        <v>64000</v>
      </c>
      <c r="K24" s="642">
        <f t="shared" ref="K24:K29" si="13">G24/D24</f>
        <v>75000</v>
      </c>
      <c r="L24" s="501"/>
      <c r="M24" s="501"/>
      <c r="N24" s="501"/>
      <c r="O24" s="565"/>
    </row>
    <row r="25" spans="1:15" x14ac:dyDescent="0.25">
      <c r="A25" s="22">
        <v>2</v>
      </c>
      <c r="B25" s="26" t="s">
        <v>537</v>
      </c>
      <c r="C25" s="23" t="s">
        <v>28</v>
      </c>
      <c r="D25" s="24">
        <v>20</v>
      </c>
      <c r="E25" s="23">
        <v>10</v>
      </c>
      <c r="F25" s="25">
        <v>3000</v>
      </c>
      <c r="G25" s="25">
        <f t="shared" ref="G25:G29" si="14">D25*E25*F25</f>
        <v>600000</v>
      </c>
      <c r="H25" s="268">
        <f t="shared" ref="H25:H29" si="15">G25/589.84</f>
        <v>1017.22501017225</v>
      </c>
      <c r="I25" s="642">
        <f t="shared" si="12"/>
        <v>18000</v>
      </c>
      <c r="J25" s="642">
        <f>1050*D25</f>
        <v>21000</v>
      </c>
      <c r="K25" s="642">
        <f t="shared" si="13"/>
        <v>30000</v>
      </c>
      <c r="L25" s="501"/>
      <c r="M25" s="501"/>
      <c r="N25" s="501"/>
      <c r="O25" s="565"/>
    </row>
    <row r="26" spans="1:15" x14ac:dyDescent="0.25">
      <c r="A26" s="22">
        <v>3</v>
      </c>
      <c r="B26" s="26" t="s">
        <v>538</v>
      </c>
      <c r="C26" s="23" t="s">
        <v>28</v>
      </c>
      <c r="D26" s="24">
        <v>1</v>
      </c>
      <c r="E26" s="23">
        <v>10</v>
      </c>
      <c r="F26" s="25">
        <v>7500</v>
      </c>
      <c r="G26" s="25">
        <f t="shared" si="14"/>
        <v>75000</v>
      </c>
      <c r="H26" s="268">
        <f t="shared" si="15"/>
        <v>127.15312627153125</v>
      </c>
      <c r="I26" s="642">
        <f t="shared" si="12"/>
        <v>2250</v>
      </c>
      <c r="J26" s="642">
        <f>1600*D26</f>
        <v>1600</v>
      </c>
      <c r="K26" s="642">
        <f t="shared" si="13"/>
        <v>75000</v>
      </c>
      <c r="L26" s="501"/>
      <c r="M26" s="501"/>
      <c r="N26" s="501"/>
      <c r="O26" s="565"/>
    </row>
    <row r="27" spans="1:15" x14ac:dyDescent="0.25">
      <c r="A27" s="22">
        <v>4</v>
      </c>
      <c r="B27" s="26" t="s">
        <v>1365</v>
      </c>
      <c r="C27" s="23" t="s">
        <v>28</v>
      </c>
      <c r="D27" s="24">
        <v>164</v>
      </c>
      <c r="E27" s="23">
        <v>7</v>
      </c>
      <c r="F27" s="407">
        <v>3000</v>
      </c>
      <c r="G27" s="25">
        <f t="shared" si="14"/>
        <v>3444000</v>
      </c>
      <c r="H27" s="268">
        <f t="shared" si="15"/>
        <v>5838.8715583887151</v>
      </c>
      <c r="I27" s="642">
        <f t="shared" si="12"/>
        <v>103320</v>
      </c>
      <c r="J27" s="642">
        <f>550*D27</f>
        <v>90200</v>
      </c>
      <c r="K27" s="642">
        <f t="shared" si="13"/>
        <v>21000</v>
      </c>
      <c r="L27" s="501"/>
      <c r="M27" s="501"/>
      <c r="N27" s="501"/>
      <c r="O27" s="565"/>
    </row>
    <row r="28" spans="1:15" x14ac:dyDescent="0.25">
      <c r="A28" s="22">
        <v>5</v>
      </c>
      <c r="B28" s="26" t="s">
        <v>1345</v>
      </c>
      <c r="C28" s="23" t="s">
        <v>28</v>
      </c>
      <c r="D28" s="24">
        <v>1</v>
      </c>
      <c r="E28" s="23">
        <v>10</v>
      </c>
      <c r="F28" s="227">
        <v>8000</v>
      </c>
      <c r="G28" s="25">
        <f t="shared" ref="G28" si="16">D28*E28*F28</f>
        <v>80000</v>
      </c>
      <c r="H28" s="268">
        <f t="shared" ref="H28" si="17">G28/589.84</f>
        <v>135.6300013563</v>
      </c>
      <c r="I28" s="642">
        <f t="shared" si="12"/>
        <v>2400</v>
      </c>
      <c r="J28" s="642">
        <f>1600*D28</f>
        <v>1600</v>
      </c>
      <c r="K28" s="642">
        <f t="shared" si="13"/>
        <v>80000</v>
      </c>
      <c r="L28" s="501"/>
      <c r="M28" s="501"/>
      <c r="N28" s="501"/>
      <c r="O28" s="565"/>
    </row>
    <row r="29" spans="1:15" ht="16.5" thickBot="1" x14ac:dyDescent="0.3">
      <c r="A29" s="22">
        <v>6</v>
      </c>
      <c r="B29" s="26" t="s">
        <v>539</v>
      </c>
      <c r="C29" s="23" t="s">
        <v>28</v>
      </c>
      <c r="D29" s="24">
        <v>4</v>
      </c>
      <c r="E29" s="23">
        <v>10</v>
      </c>
      <c r="F29" s="25">
        <v>8000</v>
      </c>
      <c r="G29" s="25">
        <f t="shared" si="14"/>
        <v>320000</v>
      </c>
      <c r="H29" s="268">
        <f t="shared" si="15"/>
        <v>542.5200054252</v>
      </c>
      <c r="I29" s="642">
        <f t="shared" si="12"/>
        <v>9600</v>
      </c>
      <c r="J29" s="642">
        <f>1600*D29</f>
        <v>6400</v>
      </c>
      <c r="K29" s="642">
        <f t="shared" si="13"/>
        <v>80000</v>
      </c>
      <c r="L29" s="501"/>
      <c r="M29" s="501"/>
      <c r="N29" s="501"/>
      <c r="O29" s="565"/>
    </row>
    <row r="30" spans="1:15" ht="18.75" thickBot="1" x14ac:dyDescent="0.3">
      <c r="A30" s="341"/>
      <c r="B30" s="342" t="s">
        <v>1399</v>
      </c>
      <c r="C30" s="343"/>
      <c r="D30" s="343"/>
      <c r="E30" s="343"/>
      <c r="F30" s="344"/>
      <c r="G30" s="344">
        <f>SUM(G24:G29)</f>
        <v>7519000</v>
      </c>
      <c r="H30" s="516">
        <f>SUM(H24:H29)</f>
        <v>12747.524752475247</v>
      </c>
      <c r="I30" s="263">
        <f>SUM(I24:I29)</f>
        <v>225570</v>
      </c>
      <c r="J30" s="263">
        <f>SUM(J24:J29)</f>
        <v>184800</v>
      </c>
      <c r="K30" s="12"/>
      <c r="L30" s="501"/>
      <c r="M30" s="501"/>
      <c r="N30" s="501"/>
      <c r="O30" s="565"/>
    </row>
    <row r="31" spans="1:15" ht="16.5" thickBot="1" x14ac:dyDescent="0.3">
      <c r="A31" s="22">
        <v>1</v>
      </c>
      <c r="B31" s="26" t="s">
        <v>540</v>
      </c>
      <c r="C31" s="23" t="s">
        <v>28</v>
      </c>
      <c r="D31" s="24">
        <v>28</v>
      </c>
      <c r="E31" s="23">
        <v>10</v>
      </c>
      <c r="F31" s="25">
        <v>7500</v>
      </c>
      <c r="G31" s="25">
        <f>D31*E31*F31</f>
        <v>2100000</v>
      </c>
      <c r="H31" s="544">
        <f>G31/589.84</f>
        <v>3560.2875356028753</v>
      </c>
      <c r="I31" s="642">
        <f t="shared" ref="I31:I36" si="18">G31*0.03</f>
        <v>63000</v>
      </c>
      <c r="J31" s="642">
        <f>1600*D31</f>
        <v>44800</v>
      </c>
      <c r="K31" s="642">
        <f t="shared" ref="K31:K36" si="19">G31/D31</f>
        <v>75000</v>
      </c>
      <c r="L31" s="501"/>
      <c r="M31" s="501"/>
      <c r="N31" s="501"/>
      <c r="O31" s="565"/>
    </row>
    <row r="32" spans="1:15" x14ac:dyDescent="0.25">
      <c r="A32" s="22">
        <v>2</v>
      </c>
      <c r="B32" s="26" t="s">
        <v>541</v>
      </c>
      <c r="C32" s="23" t="s">
        <v>28</v>
      </c>
      <c r="D32" s="24">
        <v>14</v>
      </c>
      <c r="E32" s="23">
        <v>10</v>
      </c>
      <c r="F32" s="25">
        <v>3000</v>
      </c>
      <c r="G32" s="25">
        <f t="shared" ref="G32:G36" si="20">D32*E32*F32</f>
        <v>420000</v>
      </c>
      <c r="H32" s="268">
        <f t="shared" ref="H32:H36" si="21">G32/589.84</f>
        <v>712.057507120575</v>
      </c>
      <c r="I32" s="642">
        <f t="shared" si="18"/>
        <v>12600</v>
      </c>
      <c r="J32" s="642">
        <f>1050*D32</f>
        <v>14700</v>
      </c>
      <c r="K32" s="642">
        <f t="shared" si="19"/>
        <v>30000</v>
      </c>
      <c r="L32" s="501"/>
      <c r="M32" s="501"/>
      <c r="N32" s="501"/>
      <c r="O32" s="565"/>
    </row>
    <row r="33" spans="1:15" x14ac:dyDescent="0.25">
      <c r="A33" s="22">
        <v>3</v>
      </c>
      <c r="B33" s="26" t="s">
        <v>542</v>
      </c>
      <c r="C33" s="23" t="s">
        <v>28</v>
      </c>
      <c r="D33" s="24">
        <v>1</v>
      </c>
      <c r="E33" s="23">
        <v>10</v>
      </c>
      <c r="F33" s="25">
        <v>7500</v>
      </c>
      <c r="G33" s="25">
        <f t="shared" si="20"/>
        <v>75000</v>
      </c>
      <c r="H33" s="268">
        <f t="shared" si="21"/>
        <v>127.15312627153125</v>
      </c>
      <c r="I33" s="642">
        <f t="shared" si="18"/>
        <v>2250</v>
      </c>
      <c r="J33" s="642">
        <f>1600*D33</f>
        <v>1600</v>
      </c>
      <c r="K33" s="642">
        <f t="shared" si="19"/>
        <v>75000</v>
      </c>
      <c r="L33" s="501"/>
      <c r="M33" s="501"/>
      <c r="N33" s="501"/>
      <c r="O33" s="565"/>
    </row>
    <row r="34" spans="1:15" x14ac:dyDescent="0.25">
      <c r="A34" s="22">
        <v>4</v>
      </c>
      <c r="B34" s="26" t="s">
        <v>1365</v>
      </c>
      <c r="C34" s="23" t="s">
        <v>28</v>
      </c>
      <c r="D34" s="24">
        <v>39</v>
      </c>
      <c r="E34" s="23">
        <v>7</v>
      </c>
      <c r="F34" s="407">
        <v>3000</v>
      </c>
      <c r="G34" s="25">
        <f t="shared" si="20"/>
        <v>819000</v>
      </c>
      <c r="H34" s="268">
        <f t="shared" si="21"/>
        <v>1388.5121388851212</v>
      </c>
      <c r="I34" s="642">
        <f t="shared" si="18"/>
        <v>24570</v>
      </c>
      <c r="J34" s="642">
        <f>550*D34</f>
        <v>21450</v>
      </c>
      <c r="K34" s="642">
        <f t="shared" si="19"/>
        <v>21000</v>
      </c>
      <c r="L34" s="501"/>
      <c r="M34" s="501"/>
      <c r="N34" s="501"/>
      <c r="O34" s="565"/>
    </row>
    <row r="35" spans="1:15" x14ac:dyDescent="0.25">
      <c r="A35" s="22">
        <v>5</v>
      </c>
      <c r="B35" s="26" t="s">
        <v>1345</v>
      </c>
      <c r="C35" s="23" t="s">
        <v>28</v>
      </c>
      <c r="D35" s="24">
        <v>1</v>
      </c>
      <c r="E35" s="23">
        <v>10</v>
      </c>
      <c r="F35" s="227">
        <v>8000</v>
      </c>
      <c r="G35" s="25">
        <f t="shared" ref="G35" si="22">D35*E35*F35</f>
        <v>80000</v>
      </c>
      <c r="H35" s="268">
        <f t="shared" ref="H35" si="23">G35/589.84</f>
        <v>135.6300013563</v>
      </c>
      <c r="I35" s="642">
        <f t="shared" si="18"/>
        <v>2400</v>
      </c>
      <c r="J35" s="642">
        <f>1600*D35</f>
        <v>1600</v>
      </c>
      <c r="K35" s="642">
        <f t="shared" si="19"/>
        <v>80000</v>
      </c>
      <c r="L35" s="501"/>
      <c r="M35" s="501"/>
      <c r="N35" s="501"/>
      <c r="O35" s="565"/>
    </row>
    <row r="36" spans="1:15" ht="16.5" thickBot="1" x14ac:dyDescent="0.3">
      <c r="A36" s="22">
        <v>6</v>
      </c>
      <c r="B36" s="26" t="s">
        <v>543</v>
      </c>
      <c r="C36" s="23" t="s">
        <v>28</v>
      </c>
      <c r="D36" s="24">
        <v>3</v>
      </c>
      <c r="E36" s="23">
        <v>10</v>
      </c>
      <c r="F36" s="25">
        <v>8000</v>
      </c>
      <c r="G36" s="25">
        <f t="shared" si="20"/>
        <v>240000</v>
      </c>
      <c r="H36" s="268">
        <f t="shared" si="21"/>
        <v>406.8900040689</v>
      </c>
      <c r="I36" s="642">
        <f t="shared" si="18"/>
        <v>7200</v>
      </c>
      <c r="J36" s="642">
        <f>1600*D36</f>
        <v>4800</v>
      </c>
      <c r="K36" s="642">
        <f t="shared" si="19"/>
        <v>80000</v>
      </c>
      <c r="L36" s="501"/>
      <c r="M36" s="501"/>
      <c r="N36" s="501"/>
      <c r="O36" s="565"/>
    </row>
    <row r="37" spans="1:15" ht="18.75" thickBot="1" x14ac:dyDescent="0.3">
      <c r="A37" s="341"/>
      <c r="B37" s="342" t="s">
        <v>1399</v>
      </c>
      <c r="C37" s="343"/>
      <c r="D37" s="343"/>
      <c r="E37" s="343"/>
      <c r="F37" s="344"/>
      <c r="G37" s="344">
        <f>SUM(G31:G36)</f>
        <v>3734000</v>
      </c>
      <c r="H37" s="516">
        <f>SUM(H31:H36)</f>
        <v>6330.5303133053039</v>
      </c>
      <c r="I37" s="263">
        <f t="shared" ref="I37" si="24">SUM(I31:I36)</f>
        <v>112020</v>
      </c>
      <c r="J37" s="263">
        <f>SUM(J31:J36)</f>
        <v>88950</v>
      </c>
      <c r="K37" s="12"/>
      <c r="L37" s="501"/>
      <c r="M37" s="501"/>
      <c r="N37" s="501"/>
      <c r="O37" s="565"/>
    </row>
    <row r="38" spans="1:15" ht="16.5" thickBot="1" x14ac:dyDescent="0.3">
      <c r="A38" s="22">
        <v>1</v>
      </c>
      <c r="B38" s="26" t="s">
        <v>544</v>
      </c>
      <c r="C38" s="23" t="s">
        <v>28</v>
      </c>
      <c r="D38" s="24">
        <v>8</v>
      </c>
      <c r="E38" s="23">
        <v>10</v>
      </c>
      <c r="F38" s="25">
        <v>7500</v>
      </c>
      <c r="G38" s="25">
        <f>D38*E38*F38</f>
        <v>600000</v>
      </c>
      <c r="H38" s="544">
        <f>G38/589.84</f>
        <v>1017.22501017225</v>
      </c>
      <c r="I38" s="642">
        <f t="shared" ref="I38:I43" si="25">G38*0.03</f>
        <v>18000</v>
      </c>
      <c r="J38" s="642">
        <f>1600*D38</f>
        <v>12800</v>
      </c>
      <c r="K38" s="642">
        <f t="shared" ref="K38:K43" si="26">G38/D38</f>
        <v>75000</v>
      </c>
      <c r="L38" s="501"/>
      <c r="M38" s="501"/>
      <c r="N38" s="501"/>
      <c r="O38" s="565"/>
    </row>
    <row r="39" spans="1:15" x14ac:dyDescent="0.25">
      <c r="A39" s="22">
        <v>2</v>
      </c>
      <c r="B39" s="26" t="s">
        <v>545</v>
      </c>
      <c r="C39" s="23" t="s">
        <v>28</v>
      </c>
      <c r="D39" s="24">
        <v>4</v>
      </c>
      <c r="E39" s="23">
        <v>10</v>
      </c>
      <c r="F39" s="25">
        <v>3000</v>
      </c>
      <c r="G39" s="25">
        <f t="shared" ref="G39:G43" si="27">D39*E39*F39</f>
        <v>120000</v>
      </c>
      <c r="H39" s="268">
        <f t="shared" ref="H39:H43" si="28">G39/589.84</f>
        <v>203.44500203445</v>
      </c>
      <c r="I39" s="642">
        <f t="shared" si="25"/>
        <v>3600</v>
      </c>
      <c r="J39" s="642">
        <f>1050*D39</f>
        <v>4200</v>
      </c>
      <c r="K39" s="642">
        <f t="shared" si="26"/>
        <v>30000</v>
      </c>
      <c r="L39" s="501"/>
      <c r="M39" s="501"/>
      <c r="N39" s="501"/>
      <c r="O39" s="565"/>
    </row>
    <row r="40" spans="1:15" x14ac:dyDescent="0.25">
      <c r="A40" s="22">
        <v>3</v>
      </c>
      <c r="B40" s="26" t="s">
        <v>546</v>
      </c>
      <c r="C40" s="23" t="s">
        <v>28</v>
      </c>
      <c r="D40" s="24">
        <v>1</v>
      </c>
      <c r="E40" s="23">
        <v>10</v>
      </c>
      <c r="F40" s="25">
        <v>7500</v>
      </c>
      <c r="G40" s="25">
        <f t="shared" si="27"/>
        <v>75000</v>
      </c>
      <c r="H40" s="268">
        <f t="shared" si="28"/>
        <v>127.15312627153125</v>
      </c>
      <c r="I40" s="642">
        <f t="shared" si="25"/>
        <v>2250</v>
      </c>
      <c r="J40" s="642">
        <f>1600*D40</f>
        <v>1600</v>
      </c>
      <c r="K40" s="642">
        <f t="shared" si="26"/>
        <v>75000</v>
      </c>
      <c r="L40" s="501"/>
      <c r="M40" s="501"/>
      <c r="N40" s="501"/>
      <c r="O40" s="565"/>
    </row>
    <row r="41" spans="1:15" x14ac:dyDescent="0.25">
      <c r="A41" s="22">
        <v>4</v>
      </c>
      <c r="B41" s="26" t="s">
        <v>1365</v>
      </c>
      <c r="C41" s="23" t="s">
        <v>28</v>
      </c>
      <c r="D41" s="24">
        <v>11</v>
      </c>
      <c r="E41" s="23">
        <v>7</v>
      </c>
      <c r="F41" s="407">
        <v>3000</v>
      </c>
      <c r="G41" s="25">
        <f t="shared" si="27"/>
        <v>231000</v>
      </c>
      <c r="H41" s="268">
        <f t="shared" si="28"/>
        <v>391.63162891631629</v>
      </c>
      <c r="I41" s="642">
        <f t="shared" si="25"/>
        <v>6930</v>
      </c>
      <c r="J41" s="642">
        <f>550*D41</f>
        <v>6050</v>
      </c>
      <c r="K41" s="642">
        <f t="shared" si="26"/>
        <v>21000</v>
      </c>
      <c r="L41" s="501"/>
      <c r="M41" s="501"/>
      <c r="N41" s="501"/>
      <c r="O41" s="565"/>
    </row>
    <row r="42" spans="1:15" x14ac:dyDescent="0.25">
      <c r="A42" s="22">
        <v>5</v>
      </c>
      <c r="B42" s="26" t="s">
        <v>1345</v>
      </c>
      <c r="C42" s="23" t="s">
        <v>28</v>
      </c>
      <c r="D42" s="24">
        <v>1</v>
      </c>
      <c r="E42" s="23">
        <v>10</v>
      </c>
      <c r="F42" s="25">
        <v>7500</v>
      </c>
      <c r="G42" s="25">
        <f t="shared" ref="G42" si="29">D42*E42*F42</f>
        <v>75000</v>
      </c>
      <c r="H42" s="268">
        <f t="shared" ref="H42" si="30">G42/589.84</f>
        <v>127.15312627153125</v>
      </c>
      <c r="I42" s="642">
        <f t="shared" si="25"/>
        <v>2250</v>
      </c>
      <c r="J42" s="642">
        <f>1600*D42</f>
        <v>1600</v>
      </c>
      <c r="K42" s="642">
        <f t="shared" si="26"/>
        <v>75000</v>
      </c>
      <c r="L42" s="501"/>
      <c r="M42" s="501"/>
      <c r="N42" s="501"/>
      <c r="O42" s="565"/>
    </row>
    <row r="43" spans="1:15" ht="16.5" thickBot="1" x14ac:dyDescent="0.3">
      <c r="A43" s="22">
        <v>6</v>
      </c>
      <c r="B43" s="26" t="s">
        <v>547</v>
      </c>
      <c r="C43" s="23" t="s">
        <v>28</v>
      </c>
      <c r="D43" s="24">
        <v>1</v>
      </c>
      <c r="E43" s="23">
        <v>10</v>
      </c>
      <c r="F43" s="25">
        <v>8000</v>
      </c>
      <c r="G43" s="25">
        <f t="shared" si="27"/>
        <v>80000</v>
      </c>
      <c r="H43" s="268">
        <f t="shared" si="28"/>
        <v>135.6300013563</v>
      </c>
      <c r="I43" s="642">
        <f t="shared" si="25"/>
        <v>2400</v>
      </c>
      <c r="J43" s="642">
        <f>1600*D43</f>
        <v>1600</v>
      </c>
      <c r="K43" s="642">
        <f t="shared" si="26"/>
        <v>80000</v>
      </c>
      <c r="L43" s="501"/>
      <c r="M43" s="501"/>
      <c r="N43" s="501"/>
      <c r="O43" s="565"/>
    </row>
    <row r="44" spans="1:15" ht="18.75" thickBot="1" x14ac:dyDescent="0.3">
      <c r="A44" s="341"/>
      <c r="B44" s="342" t="s">
        <v>1399</v>
      </c>
      <c r="C44" s="343"/>
      <c r="D44" s="343"/>
      <c r="E44" s="343"/>
      <c r="F44" s="344"/>
      <c r="G44" s="344">
        <f>SUM(G38:G43)</f>
        <v>1181000</v>
      </c>
      <c r="H44" s="516">
        <f>SUM(H38:H43)</f>
        <v>2002.2378950223786</v>
      </c>
      <c r="I44" s="263">
        <f>SUM(I38:I43)</f>
        <v>35430</v>
      </c>
      <c r="J44" s="263">
        <f>SUM(J38:J43)</f>
        <v>27850</v>
      </c>
      <c r="K44" s="12"/>
      <c r="L44" s="501"/>
      <c r="M44" s="501"/>
      <c r="N44" s="501"/>
      <c r="O44" s="565"/>
    </row>
    <row r="45" spans="1:15" ht="16.5" thickBot="1" x14ac:dyDescent="0.3">
      <c r="A45" s="22">
        <v>1</v>
      </c>
      <c r="B45" s="26" t="s">
        <v>548</v>
      </c>
      <c r="C45" s="23" t="s">
        <v>28</v>
      </c>
      <c r="D45" s="24">
        <v>8</v>
      </c>
      <c r="E45" s="23">
        <v>10</v>
      </c>
      <c r="F45" s="25">
        <v>7500</v>
      </c>
      <c r="G45" s="25">
        <f t="shared" ref="G45:G50" si="31">D45*E45*F45</f>
        <v>600000</v>
      </c>
      <c r="H45" s="544">
        <f>G45/589.84</f>
        <v>1017.22501017225</v>
      </c>
      <c r="I45" s="642">
        <f t="shared" ref="I45:I50" si="32">G45*0.03</f>
        <v>18000</v>
      </c>
      <c r="J45" s="642">
        <f>1600*D45</f>
        <v>12800</v>
      </c>
      <c r="K45" s="642">
        <f t="shared" ref="K45:K50" si="33">G45/D45</f>
        <v>75000</v>
      </c>
      <c r="L45" s="501"/>
      <c r="M45" s="501"/>
      <c r="N45" s="501"/>
      <c r="O45" s="565"/>
    </row>
    <row r="46" spans="1:15" x14ac:dyDescent="0.25">
      <c r="A46" s="22">
        <v>2</v>
      </c>
      <c r="B46" s="26" t="s">
        <v>549</v>
      </c>
      <c r="C46" s="23" t="s">
        <v>28</v>
      </c>
      <c r="D46" s="24">
        <v>4</v>
      </c>
      <c r="E46" s="23">
        <v>10</v>
      </c>
      <c r="F46" s="25">
        <v>3000</v>
      </c>
      <c r="G46" s="25">
        <f t="shared" si="31"/>
        <v>120000</v>
      </c>
      <c r="H46" s="268">
        <f t="shared" ref="H46:H50" si="34">G46/589.84</f>
        <v>203.44500203445</v>
      </c>
      <c r="I46" s="642">
        <f t="shared" si="32"/>
        <v>3600</v>
      </c>
      <c r="J46" s="642">
        <f>1050*D46</f>
        <v>4200</v>
      </c>
      <c r="K46" s="642">
        <f t="shared" si="33"/>
        <v>30000</v>
      </c>
      <c r="L46" s="501"/>
      <c r="M46" s="501"/>
      <c r="N46" s="501"/>
      <c r="O46" s="565"/>
    </row>
    <row r="47" spans="1:15" x14ac:dyDescent="0.25">
      <c r="A47" s="22">
        <v>3</v>
      </c>
      <c r="B47" s="26" t="s">
        <v>550</v>
      </c>
      <c r="C47" s="23" t="s">
        <v>28</v>
      </c>
      <c r="D47" s="24">
        <v>1</v>
      </c>
      <c r="E47" s="23">
        <v>10</v>
      </c>
      <c r="F47" s="25">
        <v>7500</v>
      </c>
      <c r="G47" s="25">
        <f t="shared" si="31"/>
        <v>75000</v>
      </c>
      <c r="H47" s="268">
        <f t="shared" si="34"/>
        <v>127.15312627153125</v>
      </c>
      <c r="I47" s="642">
        <f t="shared" si="32"/>
        <v>2250</v>
      </c>
      <c r="J47" s="642">
        <f>1600*D47</f>
        <v>1600</v>
      </c>
      <c r="K47" s="642">
        <f t="shared" si="33"/>
        <v>75000</v>
      </c>
      <c r="L47" s="501"/>
      <c r="M47" s="501"/>
      <c r="N47" s="501"/>
      <c r="O47" s="565"/>
    </row>
    <row r="48" spans="1:15" x14ac:dyDescent="0.25">
      <c r="A48" s="22">
        <v>4</v>
      </c>
      <c r="B48" s="26" t="s">
        <v>1365</v>
      </c>
      <c r="C48" s="23" t="s">
        <v>28</v>
      </c>
      <c r="D48" s="24">
        <v>10</v>
      </c>
      <c r="E48" s="23">
        <v>7</v>
      </c>
      <c r="F48" s="407">
        <v>3000</v>
      </c>
      <c r="G48" s="25">
        <f t="shared" si="31"/>
        <v>210000</v>
      </c>
      <c r="H48" s="268">
        <f t="shared" si="34"/>
        <v>356.0287535602875</v>
      </c>
      <c r="I48" s="642">
        <f t="shared" si="32"/>
        <v>6300</v>
      </c>
      <c r="J48" s="642">
        <f>550*D48</f>
        <v>5500</v>
      </c>
      <c r="K48" s="642">
        <f t="shared" si="33"/>
        <v>21000</v>
      </c>
      <c r="L48" s="501"/>
      <c r="M48" s="501"/>
      <c r="N48" s="501"/>
      <c r="O48" s="565"/>
    </row>
    <row r="49" spans="1:15" x14ac:dyDescent="0.25">
      <c r="A49" s="22">
        <v>5</v>
      </c>
      <c r="B49" s="26" t="s">
        <v>1345</v>
      </c>
      <c r="C49" s="23" t="s">
        <v>28</v>
      </c>
      <c r="D49" s="24">
        <v>1</v>
      </c>
      <c r="E49" s="23">
        <v>10</v>
      </c>
      <c r="F49" s="25">
        <v>7500</v>
      </c>
      <c r="G49" s="25">
        <f t="shared" si="31"/>
        <v>75000</v>
      </c>
      <c r="H49" s="268">
        <f t="shared" si="34"/>
        <v>127.15312627153125</v>
      </c>
      <c r="I49" s="642">
        <f t="shared" si="32"/>
        <v>2250</v>
      </c>
      <c r="J49" s="642">
        <f>1600*D49</f>
        <v>1600</v>
      </c>
      <c r="K49" s="642">
        <f t="shared" si="33"/>
        <v>75000</v>
      </c>
      <c r="L49" s="501"/>
      <c r="M49" s="501"/>
      <c r="N49" s="501"/>
      <c r="O49" s="565"/>
    </row>
    <row r="50" spans="1:15" ht="16.5" thickBot="1" x14ac:dyDescent="0.3">
      <c r="A50" s="22">
        <v>6</v>
      </c>
      <c r="B50" s="26" t="s">
        <v>551</v>
      </c>
      <c r="C50" s="23" t="s">
        <v>28</v>
      </c>
      <c r="D50" s="24">
        <v>1</v>
      </c>
      <c r="E50" s="23">
        <v>10</v>
      </c>
      <c r="F50" s="25">
        <v>8000</v>
      </c>
      <c r="G50" s="25">
        <f t="shared" si="31"/>
        <v>80000</v>
      </c>
      <c r="H50" s="268">
        <f t="shared" si="34"/>
        <v>135.6300013563</v>
      </c>
      <c r="I50" s="642">
        <f t="shared" si="32"/>
        <v>2400</v>
      </c>
      <c r="J50" s="642">
        <f>1600*D50</f>
        <v>1600</v>
      </c>
      <c r="K50" s="642">
        <f t="shared" si="33"/>
        <v>80000</v>
      </c>
      <c r="L50" s="501"/>
      <c r="M50" s="501"/>
      <c r="N50" s="501"/>
      <c r="O50" s="565"/>
    </row>
    <row r="51" spans="1:15" ht="18.75" thickBot="1" x14ac:dyDescent="0.3">
      <c r="A51" s="341"/>
      <c r="B51" s="342" t="s">
        <v>1399</v>
      </c>
      <c r="C51" s="343"/>
      <c r="D51" s="343"/>
      <c r="E51" s="343"/>
      <c r="F51" s="344"/>
      <c r="G51" s="344">
        <f>SUM(G45:G50)</f>
        <v>1160000</v>
      </c>
      <c r="H51" s="516">
        <f>SUM(H45:H50)</f>
        <v>1966.6350196663498</v>
      </c>
      <c r="I51" s="692">
        <f t="shared" ref="I51" si="35">SUM(I45:I50)</f>
        <v>34800</v>
      </c>
      <c r="J51" s="263">
        <f>SUM(J45:J50)</f>
        <v>27300</v>
      </c>
      <c r="K51" s="12"/>
      <c r="L51" s="501"/>
      <c r="M51" s="501"/>
      <c r="N51" s="501"/>
      <c r="O51" s="565"/>
    </row>
    <row r="52" spans="1:15" ht="16.5" thickBot="1" x14ac:dyDescent="0.3">
      <c r="A52" s="22">
        <v>1</v>
      </c>
      <c r="B52" s="26" t="s">
        <v>552</v>
      </c>
      <c r="C52" s="23" t="s">
        <v>28</v>
      </c>
      <c r="D52" s="24">
        <v>30</v>
      </c>
      <c r="E52" s="23">
        <v>10</v>
      </c>
      <c r="F52" s="25">
        <v>7500</v>
      </c>
      <c r="G52" s="25">
        <f t="shared" ref="G52:G57" si="36">D52*E52*F52</f>
        <v>2250000</v>
      </c>
      <c r="H52" s="544">
        <f>G52/589.84</f>
        <v>3814.5937881459377</v>
      </c>
      <c r="I52" s="642">
        <f t="shared" ref="I52:I56" si="37">G52*0.03</f>
        <v>67500</v>
      </c>
      <c r="J52" s="642">
        <f>1600*D52</f>
        <v>48000</v>
      </c>
      <c r="K52" s="642">
        <f t="shared" ref="K52:K57" si="38">G52/D52</f>
        <v>75000</v>
      </c>
      <c r="L52" s="501"/>
      <c r="M52" s="501"/>
      <c r="N52" s="501"/>
      <c r="O52" s="565"/>
    </row>
    <row r="53" spans="1:15" x14ac:dyDescent="0.25">
      <c r="A53" s="22">
        <v>2</v>
      </c>
      <c r="B53" s="26" t="s">
        <v>553</v>
      </c>
      <c r="C53" s="23" t="s">
        <v>28</v>
      </c>
      <c r="D53" s="24">
        <v>15</v>
      </c>
      <c r="E53" s="23">
        <v>10</v>
      </c>
      <c r="F53" s="25">
        <v>3000</v>
      </c>
      <c r="G53" s="25">
        <f t="shared" si="36"/>
        <v>450000</v>
      </c>
      <c r="H53" s="268">
        <f t="shared" ref="H53:H57" si="39">G53/589.84</f>
        <v>762.91875762918755</v>
      </c>
      <c r="I53" s="642">
        <f t="shared" si="37"/>
        <v>13500</v>
      </c>
      <c r="J53" s="642">
        <f>1050*D53</f>
        <v>15750</v>
      </c>
      <c r="K53" s="642">
        <f t="shared" si="38"/>
        <v>30000</v>
      </c>
      <c r="L53" s="501"/>
      <c r="M53" s="501"/>
      <c r="N53" s="501"/>
      <c r="O53" s="565"/>
    </row>
    <row r="54" spans="1:15" x14ac:dyDescent="0.25">
      <c r="A54" s="22">
        <v>3</v>
      </c>
      <c r="B54" s="26" t="s">
        <v>554</v>
      </c>
      <c r="C54" s="23" t="s">
        <v>28</v>
      </c>
      <c r="D54" s="24">
        <v>1</v>
      </c>
      <c r="E54" s="23">
        <v>10</v>
      </c>
      <c r="F54" s="25">
        <v>7500</v>
      </c>
      <c r="G54" s="25">
        <f t="shared" si="36"/>
        <v>75000</v>
      </c>
      <c r="H54" s="268">
        <f t="shared" si="39"/>
        <v>127.15312627153125</v>
      </c>
      <c r="I54" s="642">
        <f t="shared" si="37"/>
        <v>2250</v>
      </c>
      <c r="J54" s="642">
        <f>1600*D54</f>
        <v>1600</v>
      </c>
      <c r="K54" s="642">
        <f t="shared" si="38"/>
        <v>75000</v>
      </c>
      <c r="L54" s="501"/>
      <c r="M54" s="501"/>
      <c r="N54" s="501"/>
      <c r="O54" s="565"/>
    </row>
    <row r="55" spans="1:15" x14ac:dyDescent="0.25">
      <c r="A55" s="22">
        <v>4</v>
      </c>
      <c r="B55" s="26" t="s">
        <v>1365</v>
      </c>
      <c r="C55" s="23" t="s">
        <v>28</v>
      </c>
      <c r="D55" s="24">
        <v>65</v>
      </c>
      <c r="E55" s="23">
        <v>7</v>
      </c>
      <c r="F55" s="407">
        <v>3000</v>
      </c>
      <c r="G55" s="25">
        <f t="shared" si="36"/>
        <v>1365000</v>
      </c>
      <c r="H55" s="268">
        <f t="shared" si="39"/>
        <v>2314.1868981418688</v>
      </c>
      <c r="I55" s="642">
        <f t="shared" si="37"/>
        <v>40950</v>
      </c>
      <c r="J55" s="642">
        <f>550*D55</f>
        <v>35750</v>
      </c>
      <c r="K55" s="642">
        <f t="shared" si="38"/>
        <v>21000</v>
      </c>
      <c r="L55" s="501"/>
      <c r="M55" s="501"/>
      <c r="N55" s="501"/>
      <c r="O55" s="565"/>
    </row>
    <row r="56" spans="1:15" x14ac:dyDescent="0.25">
      <c r="A56" s="22">
        <v>5</v>
      </c>
      <c r="B56" s="26" t="s">
        <v>1345</v>
      </c>
      <c r="C56" s="23" t="s">
        <v>28</v>
      </c>
      <c r="D56" s="24">
        <v>1</v>
      </c>
      <c r="E56" s="23">
        <v>10</v>
      </c>
      <c r="F56" s="227">
        <v>8000</v>
      </c>
      <c r="G56" s="25">
        <f t="shared" si="36"/>
        <v>80000</v>
      </c>
      <c r="H56" s="268">
        <f t="shared" ref="H56" si="40">G56/589.84</f>
        <v>135.6300013563</v>
      </c>
      <c r="I56" s="642">
        <f t="shared" si="37"/>
        <v>2400</v>
      </c>
      <c r="J56" s="642">
        <f>1600*D56</f>
        <v>1600</v>
      </c>
      <c r="K56" s="642">
        <f t="shared" si="38"/>
        <v>80000</v>
      </c>
      <c r="L56" s="501"/>
      <c r="M56" s="501"/>
      <c r="N56" s="501"/>
      <c r="O56" s="565"/>
    </row>
    <row r="57" spans="1:15" ht="16.5" thickBot="1" x14ac:dyDescent="0.3">
      <c r="A57" s="22">
        <v>6</v>
      </c>
      <c r="B57" s="26" t="s">
        <v>555</v>
      </c>
      <c r="C57" s="23" t="s">
        <v>28</v>
      </c>
      <c r="D57" s="24">
        <v>3</v>
      </c>
      <c r="E57" s="23">
        <v>10</v>
      </c>
      <c r="F57" s="25">
        <v>8000</v>
      </c>
      <c r="G57" s="25">
        <f t="shared" si="36"/>
        <v>240000</v>
      </c>
      <c r="H57" s="268">
        <f t="shared" si="39"/>
        <v>406.8900040689</v>
      </c>
      <c r="I57" s="642">
        <f>G57*0.03</f>
        <v>7200</v>
      </c>
      <c r="J57" s="642">
        <f>1600*D57</f>
        <v>4800</v>
      </c>
      <c r="K57" s="642">
        <f t="shared" si="38"/>
        <v>80000</v>
      </c>
      <c r="L57" s="501"/>
      <c r="M57" s="501"/>
      <c r="N57" s="501"/>
      <c r="O57" s="565"/>
    </row>
    <row r="58" spans="1:15" ht="18.75" thickBot="1" x14ac:dyDescent="0.3">
      <c r="A58" s="341"/>
      <c r="B58" s="342" t="s">
        <v>1399</v>
      </c>
      <c r="C58" s="343"/>
      <c r="D58" s="343"/>
      <c r="E58" s="343"/>
      <c r="F58" s="344"/>
      <c r="G58" s="344">
        <f>SUM(G52:G57)</f>
        <v>4460000</v>
      </c>
      <c r="H58" s="516">
        <f>SUM(H52:H57)</f>
        <v>7561.3725756137264</v>
      </c>
      <c r="I58" s="692">
        <f>SUM(I52:I57)</f>
        <v>133800</v>
      </c>
      <c r="J58" s="263">
        <f>SUM(J52:J57)</f>
        <v>107500</v>
      </c>
      <c r="K58" s="12"/>
      <c r="L58" s="501"/>
      <c r="M58" s="501"/>
      <c r="N58" s="501"/>
      <c r="O58" s="565"/>
    </row>
    <row r="59" spans="1:15" ht="16.5" thickBot="1" x14ac:dyDescent="0.3">
      <c r="A59" s="22">
        <v>1</v>
      </c>
      <c r="B59" s="26" t="s">
        <v>556</v>
      </c>
      <c r="C59" s="23" t="s">
        <v>28</v>
      </c>
      <c r="D59" s="24">
        <v>14</v>
      </c>
      <c r="E59" s="23">
        <v>10</v>
      </c>
      <c r="F59" s="25">
        <v>7500</v>
      </c>
      <c r="G59" s="25">
        <f>D59*E59*F59</f>
        <v>1050000</v>
      </c>
      <c r="H59" s="544">
        <f>G59/589.84</f>
        <v>1780.1437678014377</v>
      </c>
      <c r="I59" s="642">
        <f t="shared" ref="I59:I64" si="41">G59*0.03</f>
        <v>31500</v>
      </c>
      <c r="J59" s="642">
        <f>1600*D59</f>
        <v>22400</v>
      </c>
      <c r="K59" s="642">
        <f t="shared" ref="K59:K64" si="42">G59/D59</f>
        <v>75000</v>
      </c>
      <c r="L59" s="501"/>
      <c r="M59" s="501"/>
      <c r="N59" s="501"/>
      <c r="O59" s="565"/>
    </row>
    <row r="60" spans="1:15" x14ac:dyDescent="0.25">
      <c r="A60" s="22">
        <v>2</v>
      </c>
      <c r="B60" s="26" t="s">
        <v>557</v>
      </c>
      <c r="C60" s="23" t="s">
        <v>28</v>
      </c>
      <c r="D60" s="24">
        <v>7</v>
      </c>
      <c r="E60" s="23">
        <v>10</v>
      </c>
      <c r="F60" s="25">
        <v>3000</v>
      </c>
      <c r="G60" s="25">
        <f t="shared" ref="G60:G64" si="43">D60*E60*F60</f>
        <v>210000</v>
      </c>
      <c r="H60" s="268">
        <f t="shared" ref="H60:H64" si="44">G60/589.84</f>
        <v>356.0287535602875</v>
      </c>
      <c r="I60" s="642">
        <f t="shared" si="41"/>
        <v>6300</v>
      </c>
      <c r="J60" s="642">
        <f>1050*D60</f>
        <v>7350</v>
      </c>
      <c r="K60" s="642">
        <f t="shared" si="42"/>
        <v>30000</v>
      </c>
      <c r="L60" s="501"/>
      <c r="M60" s="501"/>
      <c r="N60" s="501"/>
      <c r="O60" s="565"/>
    </row>
    <row r="61" spans="1:15" x14ac:dyDescent="0.25">
      <c r="A61" s="22">
        <v>3</v>
      </c>
      <c r="B61" s="26" t="s">
        <v>558</v>
      </c>
      <c r="C61" s="23" t="s">
        <v>28</v>
      </c>
      <c r="D61" s="24">
        <v>1</v>
      </c>
      <c r="E61" s="23">
        <v>10</v>
      </c>
      <c r="F61" s="25">
        <v>7500</v>
      </c>
      <c r="G61" s="25">
        <f t="shared" si="43"/>
        <v>75000</v>
      </c>
      <c r="H61" s="268">
        <f t="shared" si="44"/>
        <v>127.15312627153125</v>
      </c>
      <c r="I61" s="642">
        <f t="shared" si="41"/>
        <v>2250</v>
      </c>
      <c r="J61" s="642">
        <f>1600*D61</f>
        <v>1600</v>
      </c>
      <c r="K61" s="642">
        <f t="shared" si="42"/>
        <v>75000</v>
      </c>
      <c r="L61" s="501"/>
      <c r="M61" s="501"/>
      <c r="N61" s="501"/>
      <c r="O61" s="565"/>
    </row>
    <row r="62" spans="1:15" x14ac:dyDescent="0.25">
      <c r="A62" s="22">
        <v>4</v>
      </c>
      <c r="B62" s="26" t="s">
        <v>1365</v>
      </c>
      <c r="C62" s="23" t="s">
        <v>28</v>
      </c>
      <c r="D62" s="24">
        <v>34</v>
      </c>
      <c r="E62" s="23">
        <v>7</v>
      </c>
      <c r="F62" s="407">
        <v>3000</v>
      </c>
      <c r="G62" s="25">
        <f t="shared" si="43"/>
        <v>714000</v>
      </c>
      <c r="H62" s="268">
        <f t="shared" si="44"/>
        <v>1210.4977621049775</v>
      </c>
      <c r="I62" s="642">
        <f t="shared" si="41"/>
        <v>21420</v>
      </c>
      <c r="J62" s="642">
        <f>550*D62</f>
        <v>18700</v>
      </c>
      <c r="K62" s="642">
        <f t="shared" si="42"/>
        <v>21000</v>
      </c>
      <c r="L62" s="501"/>
      <c r="M62" s="501"/>
      <c r="N62" s="501"/>
      <c r="O62" s="565"/>
    </row>
    <row r="63" spans="1:15" x14ac:dyDescent="0.25">
      <c r="A63" s="22">
        <v>5</v>
      </c>
      <c r="B63" s="26" t="s">
        <v>1345</v>
      </c>
      <c r="C63" s="23" t="s">
        <v>28</v>
      </c>
      <c r="D63" s="24">
        <v>1</v>
      </c>
      <c r="E63" s="23">
        <v>10</v>
      </c>
      <c r="F63" s="227">
        <v>8000</v>
      </c>
      <c r="G63" s="25">
        <f t="shared" ref="G63" si="45">D63*E63*F63</f>
        <v>80000</v>
      </c>
      <c r="H63" s="268">
        <f t="shared" ref="H63" si="46">G63/589.84</f>
        <v>135.6300013563</v>
      </c>
      <c r="I63" s="642">
        <f t="shared" si="41"/>
        <v>2400</v>
      </c>
      <c r="J63" s="642">
        <f>1600*D63</f>
        <v>1600</v>
      </c>
      <c r="K63" s="642">
        <f t="shared" si="42"/>
        <v>80000</v>
      </c>
      <c r="L63" s="501"/>
      <c r="M63" s="501"/>
      <c r="N63" s="501"/>
      <c r="O63" s="565"/>
    </row>
    <row r="64" spans="1:15" ht="16.5" thickBot="1" x14ac:dyDescent="0.3">
      <c r="A64" s="22">
        <v>6</v>
      </c>
      <c r="B64" s="26" t="s">
        <v>559</v>
      </c>
      <c r="C64" s="23" t="s">
        <v>28</v>
      </c>
      <c r="D64" s="24">
        <v>2</v>
      </c>
      <c r="E64" s="23">
        <v>10</v>
      </c>
      <c r="F64" s="25">
        <v>8000</v>
      </c>
      <c r="G64" s="25">
        <f t="shared" si="43"/>
        <v>160000</v>
      </c>
      <c r="H64" s="268">
        <f t="shared" si="44"/>
        <v>271.2600027126</v>
      </c>
      <c r="I64" s="642">
        <f t="shared" si="41"/>
        <v>4800</v>
      </c>
      <c r="J64" s="642">
        <f>1600*D64</f>
        <v>3200</v>
      </c>
      <c r="K64" s="642">
        <f t="shared" si="42"/>
        <v>80000</v>
      </c>
      <c r="L64" s="501"/>
      <c r="M64" s="501"/>
      <c r="N64" s="501"/>
      <c r="O64" s="565"/>
    </row>
    <row r="65" spans="1:15" ht="18.75" thickBot="1" x14ac:dyDescent="0.3">
      <c r="A65" s="341"/>
      <c r="B65" s="342" t="s">
        <v>1399</v>
      </c>
      <c r="C65" s="343"/>
      <c r="D65" s="343"/>
      <c r="E65" s="343"/>
      <c r="F65" s="344"/>
      <c r="G65" s="344">
        <f>SUM(G59:G64)</f>
        <v>2289000</v>
      </c>
      <c r="H65" s="516">
        <f>SUM(H59:H64)</f>
        <v>3880.7134138071337</v>
      </c>
      <c r="I65" s="263">
        <f>SUM(I59:I64)</f>
        <v>68670</v>
      </c>
      <c r="J65" s="263">
        <f>SUM(J59:J64)</f>
        <v>54850</v>
      </c>
      <c r="K65" s="12"/>
      <c r="L65" s="501"/>
      <c r="M65" s="501"/>
      <c r="N65" s="501"/>
      <c r="O65" s="565"/>
    </row>
    <row r="66" spans="1:15" ht="16.5" thickBot="1" x14ac:dyDescent="0.3">
      <c r="A66" s="22">
        <v>1</v>
      </c>
      <c r="B66" s="26" t="s">
        <v>560</v>
      </c>
      <c r="C66" s="23" t="s">
        <v>28</v>
      </c>
      <c r="D66" s="24">
        <v>20</v>
      </c>
      <c r="E66" s="23">
        <v>10</v>
      </c>
      <c r="F66" s="25">
        <v>7500</v>
      </c>
      <c r="G66" s="25">
        <f>D66*E66*F66</f>
        <v>1500000</v>
      </c>
      <c r="H66" s="544">
        <f>G66/589.84</f>
        <v>2543.0625254306251</v>
      </c>
      <c r="I66" s="642">
        <f t="shared" ref="I66" si="47">G66*0.03</f>
        <v>45000</v>
      </c>
      <c r="J66" s="642">
        <f>1600*D66</f>
        <v>32000</v>
      </c>
      <c r="K66" s="642">
        <f>G66/D66</f>
        <v>75000</v>
      </c>
      <c r="L66" s="501"/>
      <c r="M66" s="501"/>
      <c r="N66" s="501"/>
      <c r="O66" s="565"/>
    </row>
    <row r="67" spans="1:15" x14ac:dyDescent="0.25">
      <c r="A67" s="22">
        <v>2</v>
      </c>
      <c r="B67" s="26" t="s">
        <v>561</v>
      </c>
      <c r="C67" s="23" t="s">
        <v>28</v>
      </c>
      <c r="D67" s="24">
        <v>10</v>
      </c>
      <c r="E67" s="23">
        <v>10</v>
      </c>
      <c r="F67" s="25">
        <v>3000</v>
      </c>
      <c r="G67" s="25">
        <f t="shared" ref="G67:G71" si="48">D67*E67*F67</f>
        <v>300000</v>
      </c>
      <c r="H67" s="268">
        <f t="shared" ref="H67:H71" si="49">G67/589.84</f>
        <v>508.612505086125</v>
      </c>
      <c r="I67" s="642">
        <f t="shared" ref="I67:I71" si="50">G67*0.03</f>
        <v>9000</v>
      </c>
      <c r="J67" s="642">
        <f>1050*D67</f>
        <v>10500</v>
      </c>
      <c r="K67" s="642">
        <f>G67/D67</f>
        <v>30000</v>
      </c>
      <c r="L67" s="501"/>
      <c r="M67" s="501"/>
      <c r="N67" s="501"/>
      <c r="O67" s="565"/>
    </row>
    <row r="68" spans="1:15" x14ac:dyDescent="0.25">
      <c r="A68" s="22">
        <v>3</v>
      </c>
      <c r="B68" s="26" t="s">
        <v>562</v>
      </c>
      <c r="C68" s="23" t="s">
        <v>28</v>
      </c>
      <c r="D68" s="24">
        <v>1</v>
      </c>
      <c r="E68" s="23">
        <v>10</v>
      </c>
      <c r="F68" s="25">
        <v>7500</v>
      </c>
      <c r="G68" s="25">
        <f t="shared" si="48"/>
        <v>75000</v>
      </c>
      <c r="H68" s="268">
        <f t="shared" si="49"/>
        <v>127.15312627153125</v>
      </c>
      <c r="I68" s="642">
        <f t="shared" si="50"/>
        <v>2250</v>
      </c>
      <c r="J68" s="642">
        <f>1600*D68</f>
        <v>1600</v>
      </c>
      <c r="K68" s="642">
        <f t="shared" ref="K68:K71" si="51">G68/D68</f>
        <v>75000</v>
      </c>
      <c r="L68" s="501"/>
      <c r="M68" s="501"/>
      <c r="N68" s="501"/>
      <c r="O68" s="565"/>
    </row>
    <row r="69" spans="1:15" x14ac:dyDescent="0.25">
      <c r="A69" s="22">
        <v>4</v>
      </c>
      <c r="B69" s="26" t="s">
        <v>1365</v>
      </c>
      <c r="C69" s="23" t="s">
        <v>28</v>
      </c>
      <c r="D69" s="24">
        <v>22</v>
      </c>
      <c r="E69" s="23">
        <v>7</v>
      </c>
      <c r="F69" s="407">
        <v>3000</v>
      </c>
      <c r="G69" s="25">
        <f t="shared" si="48"/>
        <v>462000</v>
      </c>
      <c r="H69" s="268">
        <f t="shared" si="49"/>
        <v>783.26325783263258</v>
      </c>
      <c r="I69" s="642">
        <f t="shared" si="50"/>
        <v>13860</v>
      </c>
      <c r="J69" s="642">
        <f>550*D69</f>
        <v>12100</v>
      </c>
      <c r="K69" s="642">
        <f t="shared" si="51"/>
        <v>21000</v>
      </c>
      <c r="L69" s="501"/>
      <c r="M69" s="501"/>
      <c r="N69" s="501"/>
      <c r="O69" s="565"/>
    </row>
    <row r="70" spans="1:15" x14ac:dyDescent="0.25">
      <c r="A70" s="22">
        <v>5</v>
      </c>
      <c r="B70" s="26" t="s">
        <v>1345</v>
      </c>
      <c r="C70" s="23" t="s">
        <v>28</v>
      </c>
      <c r="D70" s="24">
        <v>1</v>
      </c>
      <c r="E70" s="23">
        <v>10</v>
      </c>
      <c r="F70" s="227">
        <v>8000</v>
      </c>
      <c r="G70" s="25">
        <f t="shared" ref="G70" si="52">D70*E70*F70</f>
        <v>80000</v>
      </c>
      <c r="H70" s="268">
        <f t="shared" ref="H70" si="53">G70/589.84</f>
        <v>135.6300013563</v>
      </c>
      <c r="I70" s="642">
        <f t="shared" si="50"/>
        <v>2400</v>
      </c>
      <c r="J70" s="642">
        <f>1600*D70</f>
        <v>1600</v>
      </c>
      <c r="K70" s="642">
        <f t="shared" si="51"/>
        <v>80000</v>
      </c>
      <c r="L70" s="501"/>
      <c r="M70" s="501"/>
      <c r="N70" s="501"/>
      <c r="O70" s="565"/>
    </row>
    <row r="71" spans="1:15" ht="16.5" thickBot="1" x14ac:dyDescent="0.3">
      <c r="A71" s="22">
        <v>6</v>
      </c>
      <c r="B71" s="26" t="s">
        <v>563</v>
      </c>
      <c r="C71" s="23" t="s">
        <v>28</v>
      </c>
      <c r="D71" s="24">
        <v>3</v>
      </c>
      <c r="E71" s="23">
        <v>10</v>
      </c>
      <c r="F71" s="25">
        <v>8000</v>
      </c>
      <c r="G71" s="25">
        <f t="shared" si="48"/>
        <v>240000</v>
      </c>
      <c r="H71" s="268">
        <f t="shared" si="49"/>
        <v>406.8900040689</v>
      </c>
      <c r="I71" s="642">
        <f t="shared" si="50"/>
        <v>7200</v>
      </c>
      <c r="J71" s="642">
        <f>1600*D71</f>
        <v>4800</v>
      </c>
      <c r="K71" s="642">
        <f t="shared" si="51"/>
        <v>80000</v>
      </c>
      <c r="L71" s="501"/>
      <c r="M71" s="501"/>
      <c r="N71" s="501"/>
      <c r="O71" s="565"/>
    </row>
    <row r="72" spans="1:15" ht="18.75" thickBot="1" x14ac:dyDescent="0.3">
      <c r="A72" s="341"/>
      <c r="B72" s="342" t="s">
        <v>1399</v>
      </c>
      <c r="C72" s="343"/>
      <c r="D72" s="343"/>
      <c r="E72" s="343"/>
      <c r="F72" s="344"/>
      <c r="G72" s="344">
        <f>SUM(G66:G71)</f>
        <v>2657000</v>
      </c>
      <c r="H72" s="516">
        <f>SUM(H66:H71)</f>
        <v>4504.6114200461143</v>
      </c>
      <c r="I72" s="263">
        <f>SUM(I66:I71)</f>
        <v>79710</v>
      </c>
      <c r="J72" s="263">
        <f>SUM(J66:J71)</f>
        <v>62600</v>
      </c>
      <c r="K72" s="642"/>
      <c r="L72" s="501"/>
      <c r="M72" s="501"/>
      <c r="N72" s="501"/>
      <c r="O72" s="565"/>
    </row>
    <row r="73" spans="1:15" ht="16.5" thickBot="1" x14ac:dyDescent="0.3">
      <c r="A73" s="22">
        <v>1</v>
      </c>
      <c r="B73" s="26" t="s">
        <v>564</v>
      </c>
      <c r="C73" s="23" t="s">
        <v>28</v>
      </c>
      <c r="D73" s="24">
        <v>10</v>
      </c>
      <c r="E73" s="23">
        <v>10</v>
      </c>
      <c r="F73" s="25">
        <v>7500</v>
      </c>
      <c r="G73" s="25">
        <f>D73*E73*F73</f>
        <v>750000</v>
      </c>
      <c r="H73" s="544">
        <f>G73/589.84</f>
        <v>1271.5312627153126</v>
      </c>
      <c r="I73" s="642">
        <f t="shared" ref="I73:I78" si="54">G73*0.03</f>
        <v>22500</v>
      </c>
      <c r="J73" s="642">
        <f>1600*D73</f>
        <v>16000</v>
      </c>
      <c r="K73" s="642">
        <f>G73/D73</f>
        <v>75000</v>
      </c>
      <c r="L73" s="501"/>
      <c r="M73" s="501"/>
      <c r="N73" s="501"/>
      <c r="O73" s="565"/>
    </row>
    <row r="74" spans="1:15" x14ac:dyDescent="0.25">
      <c r="A74" s="22">
        <v>2</v>
      </c>
      <c r="B74" s="26" t="s">
        <v>565</v>
      </c>
      <c r="C74" s="23" t="s">
        <v>28</v>
      </c>
      <c r="D74" s="24">
        <v>5</v>
      </c>
      <c r="E74" s="23">
        <v>10</v>
      </c>
      <c r="F74" s="25">
        <v>3000</v>
      </c>
      <c r="G74" s="25">
        <f t="shared" ref="G74:G78" si="55">D74*E74*F74</f>
        <v>150000</v>
      </c>
      <c r="H74" s="268">
        <f t="shared" ref="H74:H78" si="56">G74/589.84</f>
        <v>254.3062525430625</v>
      </c>
      <c r="I74" s="642">
        <f t="shared" si="54"/>
        <v>4500</v>
      </c>
      <c r="J74" s="642">
        <f>1050*D74</f>
        <v>5250</v>
      </c>
      <c r="K74" s="642">
        <f>G74/D74</f>
        <v>30000</v>
      </c>
      <c r="L74" s="501"/>
      <c r="M74" s="501"/>
      <c r="N74" s="501"/>
      <c r="O74" s="565"/>
    </row>
    <row r="75" spans="1:15" x14ac:dyDescent="0.25">
      <c r="A75" s="22">
        <v>3</v>
      </c>
      <c r="B75" s="26" t="s">
        <v>566</v>
      </c>
      <c r="C75" s="23" t="s">
        <v>28</v>
      </c>
      <c r="D75" s="24">
        <v>1</v>
      </c>
      <c r="E75" s="23">
        <v>10</v>
      </c>
      <c r="F75" s="25">
        <v>7500</v>
      </c>
      <c r="G75" s="25">
        <f t="shared" si="55"/>
        <v>75000</v>
      </c>
      <c r="H75" s="268">
        <f t="shared" si="56"/>
        <v>127.15312627153125</v>
      </c>
      <c r="I75" s="642">
        <f t="shared" si="54"/>
        <v>2250</v>
      </c>
      <c r="J75" s="642">
        <f>1600*D75</f>
        <v>1600</v>
      </c>
      <c r="K75" s="642">
        <f t="shared" ref="K75:K78" si="57">G75/D75</f>
        <v>75000</v>
      </c>
      <c r="L75" s="501"/>
      <c r="M75" s="501"/>
      <c r="N75" s="501"/>
      <c r="O75" s="565"/>
    </row>
    <row r="76" spans="1:15" x14ac:dyDescent="0.25">
      <c r="A76" s="22">
        <v>4</v>
      </c>
      <c r="B76" s="26" t="s">
        <v>1365</v>
      </c>
      <c r="C76" s="23" t="s">
        <v>28</v>
      </c>
      <c r="D76" s="24">
        <v>9</v>
      </c>
      <c r="E76" s="23">
        <v>7</v>
      </c>
      <c r="F76" s="407">
        <v>3000</v>
      </c>
      <c r="G76" s="25">
        <f t="shared" si="55"/>
        <v>189000</v>
      </c>
      <c r="H76" s="268">
        <f t="shared" si="56"/>
        <v>320.42587820425877</v>
      </c>
      <c r="I76" s="642">
        <f t="shared" si="54"/>
        <v>5670</v>
      </c>
      <c r="J76" s="642">
        <f>550*D76</f>
        <v>4950</v>
      </c>
      <c r="K76" s="642">
        <f t="shared" si="57"/>
        <v>21000</v>
      </c>
      <c r="L76" s="501"/>
      <c r="M76" s="501"/>
      <c r="N76" s="501"/>
      <c r="O76" s="565"/>
    </row>
    <row r="77" spans="1:15" x14ac:dyDescent="0.25">
      <c r="A77" s="22">
        <v>5</v>
      </c>
      <c r="B77" s="26" t="s">
        <v>1345</v>
      </c>
      <c r="C77" s="23" t="s">
        <v>28</v>
      </c>
      <c r="D77" s="24">
        <v>1</v>
      </c>
      <c r="E77" s="23">
        <v>10</v>
      </c>
      <c r="F77" s="227">
        <v>8000</v>
      </c>
      <c r="G77" s="25">
        <f t="shared" ref="G77" si="58">D77*E77*F77</f>
        <v>80000</v>
      </c>
      <c r="H77" s="268">
        <f t="shared" ref="H77" si="59">G77/589.84</f>
        <v>135.6300013563</v>
      </c>
      <c r="I77" s="642">
        <f t="shared" si="54"/>
        <v>2400</v>
      </c>
      <c r="J77" s="642">
        <f>1600*D77</f>
        <v>1600</v>
      </c>
      <c r="K77" s="642">
        <f t="shared" si="57"/>
        <v>80000</v>
      </c>
      <c r="L77" s="501"/>
      <c r="M77" s="501"/>
      <c r="N77" s="501"/>
      <c r="O77" s="565"/>
    </row>
    <row r="78" spans="1:15" ht="16.5" thickBot="1" x14ac:dyDescent="0.3">
      <c r="A78" s="22">
        <v>6</v>
      </c>
      <c r="B78" s="26" t="s">
        <v>567</v>
      </c>
      <c r="C78" s="23" t="s">
        <v>28</v>
      </c>
      <c r="D78" s="24">
        <v>1</v>
      </c>
      <c r="E78" s="23">
        <v>10</v>
      </c>
      <c r="F78" s="25">
        <v>8000</v>
      </c>
      <c r="G78" s="25">
        <f t="shared" si="55"/>
        <v>80000</v>
      </c>
      <c r="H78" s="268">
        <f t="shared" si="56"/>
        <v>135.6300013563</v>
      </c>
      <c r="I78" s="642">
        <f t="shared" si="54"/>
        <v>2400</v>
      </c>
      <c r="J78" s="642">
        <f>1600*D78</f>
        <v>1600</v>
      </c>
      <c r="K78" s="642">
        <f t="shared" si="57"/>
        <v>80000</v>
      </c>
      <c r="L78" s="501"/>
      <c r="M78" s="501"/>
      <c r="N78" s="501"/>
      <c r="O78" s="565"/>
    </row>
    <row r="79" spans="1:15" ht="18.75" thickBot="1" x14ac:dyDescent="0.3">
      <c r="A79" s="341"/>
      <c r="B79" s="342" t="s">
        <v>1399</v>
      </c>
      <c r="C79" s="343"/>
      <c r="D79" s="343"/>
      <c r="E79" s="343"/>
      <c r="F79" s="344"/>
      <c r="G79" s="344">
        <f>SUM(G73:G78)</f>
        <v>1324000</v>
      </c>
      <c r="H79" s="516">
        <f>SUM(H73:H78)</f>
        <v>2244.6765224467649</v>
      </c>
      <c r="I79" s="263">
        <f>SUM(I73:I78)</f>
        <v>39720</v>
      </c>
      <c r="J79" s="263">
        <f>SUM(J73:J78)</f>
        <v>31000</v>
      </c>
      <c r="K79" s="642"/>
      <c r="L79" s="501"/>
      <c r="M79" s="501"/>
      <c r="N79" s="501"/>
      <c r="O79" s="565"/>
    </row>
    <row r="80" spans="1:15" ht="16.5" thickBot="1" x14ac:dyDescent="0.3">
      <c r="A80" s="22">
        <v>1</v>
      </c>
      <c r="B80" s="26" t="s">
        <v>568</v>
      </c>
      <c r="C80" s="23" t="s">
        <v>28</v>
      </c>
      <c r="D80" s="24">
        <v>20</v>
      </c>
      <c r="E80" s="23">
        <v>10</v>
      </c>
      <c r="F80" s="25">
        <v>7500</v>
      </c>
      <c r="G80" s="25">
        <f t="shared" ref="G80:G85" si="60">D80*E80*F80</f>
        <v>1500000</v>
      </c>
      <c r="H80" s="544">
        <f>G80/589.84</f>
        <v>2543.0625254306251</v>
      </c>
      <c r="I80" s="642">
        <f>G80*0.03</f>
        <v>45000</v>
      </c>
      <c r="J80" s="642">
        <f>1600*D80</f>
        <v>32000</v>
      </c>
      <c r="K80" s="642">
        <f>G80/D80</f>
        <v>75000</v>
      </c>
      <c r="L80" s="501"/>
      <c r="M80" s="501"/>
      <c r="N80" s="501"/>
      <c r="O80" s="565"/>
    </row>
    <row r="81" spans="1:15" x14ac:dyDescent="0.25">
      <c r="A81" s="22">
        <v>2</v>
      </c>
      <c r="B81" s="26" t="s">
        <v>569</v>
      </c>
      <c r="C81" s="23" t="s">
        <v>28</v>
      </c>
      <c r="D81" s="24">
        <v>10</v>
      </c>
      <c r="E81" s="23">
        <v>10</v>
      </c>
      <c r="F81" s="25">
        <v>3000</v>
      </c>
      <c r="G81" s="25">
        <f t="shared" si="60"/>
        <v>300000</v>
      </c>
      <c r="H81" s="268">
        <f t="shared" ref="H81:H85" si="61">G81/589.84</f>
        <v>508.612505086125</v>
      </c>
      <c r="I81" s="642">
        <f t="shared" ref="I81:I85" si="62">G81*0.03</f>
        <v>9000</v>
      </c>
      <c r="J81" s="642">
        <f>1050*D81</f>
        <v>10500</v>
      </c>
      <c r="K81" s="642">
        <f t="shared" ref="K81:K85" si="63">G81/D81</f>
        <v>30000</v>
      </c>
      <c r="L81" s="501"/>
      <c r="M81" s="501"/>
      <c r="N81" s="501"/>
      <c r="O81" s="565"/>
    </row>
    <row r="82" spans="1:15" x14ac:dyDescent="0.25">
      <c r="A82" s="22">
        <v>3</v>
      </c>
      <c r="B82" s="26" t="s">
        <v>570</v>
      </c>
      <c r="C82" s="23" t="s">
        <v>28</v>
      </c>
      <c r="D82" s="24">
        <v>1</v>
      </c>
      <c r="E82" s="23">
        <v>10</v>
      </c>
      <c r="F82" s="25">
        <v>7500</v>
      </c>
      <c r="G82" s="25">
        <f t="shared" si="60"/>
        <v>75000</v>
      </c>
      <c r="H82" s="268">
        <f t="shared" si="61"/>
        <v>127.15312627153125</v>
      </c>
      <c r="I82" s="642">
        <f t="shared" si="62"/>
        <v>2250</v>
      </c>
      <c r="J82" s="642">
        <f>1600*D82</f>
        <v>1600</v>
      </c>
      <c r="K82" s="642">
        <f t="shared" si="63"/>
        <v>75000</v>
      </c>
      <c r="L82" s="501"/>
      <c r="M82" s="501"/>
      <c r="N82" s="501"/>
      <c r="O82" s="565"/>
    </row>
    <row r="83" spans="1:15" x14ac:dyDescent="0.25">
      <c r="A83" s="22">
        <v>4</v>
      </c>
      <c r="B83" s="26" t="s">
        <v>1365</v>
      </c>
      <c r="C83" s="23" t="s">
        <v>28</v>
      </c>
      <c r="D83" s="24">
        <v>41</v>
      </c>
      <c r="E83" s="23">
        <v>7</v>
      </c>
      <c r="F83" s="407">
        <v>3000</v>
      </c>
      <c r="G83" s="25">
        <f t="shared" si="60"/>
        <v>861000</v>
      </c>
      <c r="H83" s="268">
        <f t="shared" si="61"/>
        <v>1459.7178895971788</v>
      </c>
      <c r="I83" s="642">
        <f t="shared" si="62"/>
        <v>25830</v>
      </c>
      <c r="J83" s="642">
        <f>550*D83</f>
        <v>22550</v>
      </c>
      <c r="K83" s="642">
        <f t="shared" si="63"/>
        <v>21000</v>
      </c>
      <c r="L83" s="501"/>
      <c r="M83" s="501"/>
      <c r="N83" s="501"/>
      <c r="O83" s="565"/>
    </row>
    <row r="84" spans="1:15" x14ac:dyDescent="0.25">
      <c r="A84" s="22">
        <v>5</v>
      </c>
      <c r="B84" s="26" t="s">
        <v>1345</v>
      </c>
      <c r="C84" s="23" t="s">
        <v>28</v>
      </c>
      <c r="D84" s="24">
        <v>1</v>
      </c>
      <c r="E84" s="23">
        <v>10</v>
      </c>
      <c r="F84" s="227">
        <v>8000</v>
      </c>
      <c r="G84" s="25">
        <f t="shared" si="60"/>
        <v>80000</v>
      </c>
      <c r="H84" s="268">
        <f t="shared" ref="H84" si="64">G84/589.84</f>
        <v>135.6300013563</v>
      </c>
      <c r="I84" s="642">
        <f t="shared" si="62"/>
        <v>2400</v>
      </c>
      <c r="J84" s="642">
        <f>1600*D84</f>
        <v>1600</v>
      </c>
      <c r="K84" s="642">
        <f t="shared" si="63"/>
        <v>80000</v>
      </c>
      <c r="L84" s="501"/>
      <c r="M84" s="501"/>
      <c r="N84" s="501"/>
      <c r="O84" s="565"/>
    </row>
    <row r="85" spans="1:15" ht="16.5" thickBot="1" x14ac:dyDescent="0.3">
      <c r="A85" s="22">
        <v>6</v>
      </c>
      <c r="B85" s="26" t="s">
        <v>571</v>
      </c>
      <c r="C85" s="23" t="s">
        <v>28</v>
      </c>
      <c r="D85" s="24">
        <v>2</v>
      </c>
      <c r="E85" s="23">
        <v>10</v>
      </c>
      <c r="F85" s="25">
        <v>8000</v>
      </c>
      <c r="G85" s="25">
        <f t="shared" si="60"/>
        <v>160000</v>
      </c>
      <c r="H85" s="268">
        <f t="shared" si="61"/>
        <v>271.2600027126</v>
      </c>
      <c r="I85" s="642">
        <f t="shared" si="62"/>
        <v>4800</v>
      </c>
      <c r="J85" s="642">
        <f>1600*D85</f>
        <v>3200</v>
      </c>
      <c r="K85" s="642">
        <f t="shared" si="63"/>
        <v>80000</v>
      </c>
      <c r="L85" s="501"/>
      <c r="M85" s="501"/>
      <c r="N85" s="501"/>
      <c r="O85" s="565"/>
    </row>
    <row r="86" spans="1:15" ht="18.75" thickBot="1" x14ac:dyDescent="0.3">
      <c r="A86" s="341"/>
      <c r="B86" s="342" t="s">
        <v>1399</v>
      </c>
      <c r="C86" s="343"/>
      <c r="D86" s="343"/>
      <c r="E86" s="343"/>
      <c r="F86" s="344"/>
      <c r="G86" s="344">
        <f>SUM(G80:G85)</f>
        <v>2976000</v>
      </c>
      <c r="H86" s="516">
        <f>SUM(H80:H85)</f>
        <v>5045.4360504543592</v>
      </c>
      <c r="I86" s="263">
        <f>SUM(I80:I85)</f>
        <v>89280</v>
      </c>
      <c r="J86" s="263">
        <f>SUM(J80:J85)</f>
        <v>71450</v>
      </c>
      <c r="K86" s="501"/>
      <c r="L86" s="501"/>
      <c r="M86" s="501"/>
      <c r="N86" s="501"/>
      <c r="O86" s="565"/>
    </row>
    <row r="87" spans="1:15" ht="16.5" thickBot="1" x14ac:dyDescent="0.3">
      <c r="A87" s="22">
        <v>1</v>
      </c>
      <c r="B87" s="26" t="s">
        <v>572</v>
      </c>
      <c r="C87" s="23" t="s">
        <v>28</v>
      </c>
      <c r="D87" s="24">
        <v>20</v>
      </c>
      <c r="E87" s="23">
        <v>10</v>
      </c>
      <c r="F87" s="25">
        <v>7500</v>
      </c>
      <c r="G87" s="25">
        <f t="shared" ref="G87:G92" si="65">D87*E87*F87</f>
        <v>1500000</v>
      </c>
      <c r="H87" s="544">
        <f>G87/589.84</f>
        <v>2543.0625254306251</v>
      </c>
      <c r="I87" s="642">
        <f>G87*0.03</f>
        <v>45000</v>
      </c>
      <c r="J87" s="642">
        <f>1600*D87</f>
        <v>32000</v>
      </c>
      <c r="K87" s="642">
        <f>G87/D87</f>
        <v>75000</v>
      </c>
      <c r="L87" s="501"/>
      <c r="M87" s="501"/>
      <c r="N87" s="501"/>
      <c r="O87" s="565"/>
    </row>
    <row r="88" spans="1:15" x14ac:dyDescent="0.25">
      <c r="A88" s="22">
        <v>2</v>
      </c>
      <c r="B88" s="26" t="s">
        <v>573</v>
      </c>
      <c r="C88" s="23" t="s">
        <v>28</v>
      </c>
      <c r="D88" s="24">
        <v>10</v>
      </c>
      <c r="E88" s="23">
        <v>10</v>
      </c>
      <c r="F88" s="25">
        <v>3000</v>
      </c>
      <c r="G88" s="25">
        <f t="shared" si="65"/>
        <v>300000</v>
      </c>
      <c r="H88" s="268">
        <f t="shared" ref="H88:H92" si="66">G88/589.84</f>
        <v>508.612505086125</v>
      </c>
      <c r="I88" s="642">
        <f t="shared" ref="I88:I92" si="67">G88*0.03</f>
        <v>9000</v>
      </c>
      <c r="J88" s="642">
        <f>1050*D88</f>
        <v>10500</v>
      </c>
      <c r="K88" s="642">
        <f t="shared" ref="K88:K92" si="68">G88/D88</f>
        <v>30000</v>
      </c>
      <c r="L88" s="501"/>
      <c r="M88" s="501"/>
      <c r="N88" s="501"/>
      <c r="O88" s="565"/>
    </row>
    <row r="89" spans="1:15" x14ac:dyDescent="0.25">
      <c r="A89" s="22">
        <v>3</v>
      </c>
      <c r="B89" s="26" t="s">
        <v>574</v>
      </c>
      <c r="C89" s="23" t="s">
        <v>28</v>
      </c>
      <c r="D89" s="24">
        <v>1</v>
      </c>
      <c r="E89" s="23">
        <v>10</v>
      </c>
      <c r="F89" s="25">
        <v>7500</v>
      </c>
      <c r="G89" s="25">
        <f t="shared" si="65"/>
        <v>75000</v>
      </c>
      <c r="H89" s="268">
        <f t="shared" si="66"/>
        <v>127.15312627153125</v>
      </c>
      <c r="I89" s="642">
        <f t="shared" si="67"/>
        <v>2250</v>
      </c>
      <c r="J89" s="642">
        <f>1600*D89</f>
        <v>1600</v>
      </c>
      <c r="K89" s="642">
        <f t="shared" si="68"/>
        <v>75000</v>
      </c>
      <c r="L89" s="501"/>
      <c r="M89" s="501"/>
      <c r="N89" s="501"/>
      <c r="O89" s="565"/>
    </row>
    <row r="90" spans="1:15" x14ac:dyDescent="0.25">
      <c r="A90" s="22">
        <v>4</v>
      </c>
      <c r="B90" s="26" t="s">
        <v>1365</v>
      </c>
      <c r="C90" s="23" t="s">
        <v>28</v>
      </c>
      <c r="D90" s="24">
        <v>43</v>
      </c>
      <c r="E90" s="23">
        <v>7</v>
      </c>
      <c r="F90" s="407">
        <v>3000</v>
      </c>
      <c r="G90" s="25">
        <f t="shared" si="65"/>
        <v>903000</v>
      </c>
      <c r="H90" s="268">
        <f t="shared" si="66"/>
        <v>1530.9236403092364</v>
      </c>
      <c r="I90" s="642">
        <f t="shared" si="67"/>
        <v>27090</v>
      </c>
      <c r="J90" s="642">
        <f>550*D90</f>
        <v>23650</v>
      </c>
      <c r="K90" s="642">
        <f t="shared" si="68"/>
        <v>21000</v>
      </c>
      <c r="L90" s="501"/>
      <c r="M90" s="501"/>
      <c r="N90" s="501"/>
      <c r="O90" s="565"/>
    </row>
    <row r="91" spans="1:15" x14ac:dyDescent="0.25">
      <c r="A91" s="22">
        <v>5</v>
      </c>
      <c r="B91" s="26" t="s">
        <v>1345</v>
      </c>
      <c r="C91" s="23" t="s">
        <v>28</v>
      </c>
      <c r="D91" s="24">
        <v>1</v>
      </c>
      <c r="E91" s="23">
        <v>10</v>
      </c>
      <c r="F91" s="227">
        <v>8000</v>
      </c>
      <c r="G91" s="25">
        <f t="shared" si="65"/>
        <v>80000</v>
      </c>
      <c r="H91" s="268">
        <f t="shared" ref="H91" si="69">G91/589.84</f>
        <v>135.6300013563</v>
      </c>
      <c r="I91" s="642">
        <f t="shared" si="67"/>
        <v>2400</v>
      </c>
      <c r="J91" s="642">
        <f>1600*D91</f>
        <v>1600</v>
      </c>
      <c r="K91" s="642">
        <f t="shared" si="68"/>
        <v>80000</v>
      </c>
      <c r="L91" s="501"/>
      <c r="M91" s="501"/>
      <c r="N91" s="501"/>
      <c r="O91" s="565"/>
    </row>
    <row r="92" spans="1:15" ht="16.5" thickBot="1" x14ac:dyDescent="0.3">
      <c r="A92" s="22">
        <v>6</v>
      </c>
      <c r="B92" s="26" t="s">
        <v>575</v>
      </c>
      <c r="C92" s="23" t="s">
        <v>28</v>
      </c>
      <c r="D92" s="24">
        <v>2</v>
      </c>
      <c r="E92" s="23">
        <v>10</v>
      </c>
      <c r="F92" s="25">
        <v>8000</v>
      </c>
      <c r="G92" s="25">
        <f t="shared" si="65"/>
        <v>160000</v>
      </c>
      <c r="H92" s="268">
        <f t="shared" si="66"/>
        <v>271.2600027126</v>
      </c>
      <c r="I92" s="642">
        <f t="shared" si="67"/>
        <v>4800</v>
      </c>
      <c r="J92" s="642">
        <f>1600*D92</f>
        <v>3200</v>
      </c>
      <c r="K92" s="642">
        <f t="shared" si="68"/>
        <v>80000</v>
      </c>
      <c r="L92" s="501"/>
      <c r="M92" s="501"/>
      <c r="N92" s="501"/>
      <c r="O92" s="565"/>
    </row>
    <row r="93" spans="1:15" ht="18.75" thickBot="1" x14ac:dyDescent="0.3">
      <c r="A93" s="341"/>
      <c r="B93" s="342" t="s">
        <v>1399</v>
      </c>
      <c r="C93" s="343"/>
      <c r="D93" s="343"/>
      <c r="E93" s="343"/>
      <c r="F93" s="344"/>
      <c r="G93" s="344">
        <f>SUM(G87:G92)</f>
        <v>3018000</v>
      </c>
      <c r="H93" s="516">
        <f>SUM(H87:H92)</f>
        <v>5116.6418011664182</v>
      </c>
      <c r="I93" s="263">
        <f>SUM(I87:I92)</f>
        <v>90540</v>
      </c>
      <c r="J93" s="263">
        <f>SUM(J87:J92)</f>
        <v>72550</v>
      </c>
      <c r="K93" s="501"/>
      <c r="L93" s="501"/>
      <c r="M93" s="501"/>
      <c r="N93" s="501"/>
      <c r="O93" s="565"/>
    </row>
    <row r="94" spans="1:15" ht="16.5" thickBot="1" x14ac:dyDescent="0.3">
      <c r="A94" s="22">
        <v>1</v>
      </c>
      <c r="B94" s="26" t="s">
        <v>576</v>
      </c>
      <c r="C94" s="23" t="s">
        <v>28</v>
      </c>
      <c r="D94" s="24">
        <v>12</v>
      </c>
      <c r="E94" s="23">
        <v>10</v>
      </c>
      <c r="F94" s="25">
        <v>7500</v>
      </c>
      <c r="G94" s="25">
        <f t="shared" ref="G94:G99" si="70">D94*E94*F94</f>
        <v>900000</v>
      </c>
      <c r="H94" s="544">
        <f>G94/589.84</f>
        <v>1525.8375152583751</v>
      </c>
      <c r="I94" s="642">
        <f>G94*0.03</f>
        <v>27000</v>
      </c>
      <c r="J94" s="642">
        <f>1600*D94</f>
        <v>19200</v>
      </c>
      <c r="K94" s="642">
        <f>G94/D94</f>
        <v>75000</v>
      </c>
      <c r="L94" s="501"/>
      <c r="M94" s="501"/>
      <c r="N94" s="501"/>
      <c r="O94" s="565"/>
    </row>
    <row r="95" spans="1:15" x14ac:dyDescent="0.25">
      <c r="A95" s="22">
        <v>2</v>
      </c>
      <c r="B95" s="26" t="s">
        <v>577</v>
      </c>
      <c r="C95" s="23" t="s">
        <v>28</v>
      </c>
      <c r="D95" s="24">
        <v>6</v>
      </c>
      <c r="E95" s="23">
        <v>10</v>
      </c>
      <c r="F95" s="25">
        <v>3000</v>
      </c>
      <c r="G95" s="25">
        <f t="shared" si="70"/>
        <v>180000</v>
      </c>
      <c r="H95" s="268">
        <f t="shared" ref="H95:H99" si="71">G95/589.84</f>
        <v>305.167503051675</v>
      </c>
      <c r="I95" s="642">
        <f t="shared" ref="I95:I99" si="72">G95*0.03</f>
        <v>5400</v>
      </c>
      <c r="J95" s="642">
        <f>1050*D95</f>
        <v>6300</v>
      </c>
      <c r="K95" s="642">
        <f t="shared" ref="K95:K99" si="73">G95/D95</f>
        <v>30000</v>
      </c>
      <c r="L95" s="501"/>
      <c r="M95" s="501"/>
      <c r="N95" s="501"/>
      <c r="O95" s="565"/>
    </row>
    <row r="96" spans="1:15" ht="28.5" x14ac:dyDescent="0.25">
      <c r="A96" s="22">
        <v>3</v>
      </c>
      <c r="B96" s="26" t="s">
        <v>578</v>
      </c>
      <c r="C96" s="23" t="s">
        <v>28</v>
      </c>
      <c r="D96" s="24">
        <v>1</v>
      </c>
      <c r="E96" s="23">
        <v>10</v>
      </c>
      <c r="F96" s="25">
        <v>7500</v>
      </c>
      <c r="G96" s="25">
        <f t="shared" si="70"/>
        <v>75000</v>
      </c>
      <c r="H96" s="268">
        <f t="shared" si="71"/>
        <v>127.15312627153125</v>
      </c>
      <c r="I96" s="642">
        <f t="shared" si="72"/>
        <v>2250</v>
      </c>
      <c r="J96" s="642">
        <f>1600*D96</f>
        <v>1600</v>
      </c>
      <c r="K96" s="642">
        <f t="shared" si="73"/>
        <v>75000</v>
      </c>
      <c r="L96" s="501"/>
      <c r="M96" s="501"/>
      <c r="N96" s="501"/>
      <c r="O96" s="565"/>
    </row>
    <row r="97" spans="1:15" x14ac:dyDescent="0.25">
      <c r="A97" s="22">
        <v>4</v>
      </c>
      <c r="B97" s="26" t="s">
        <v>1365</v>
      </c>
      <c r="C97" s="23" t="s">
        <v>28</v>
      </c>
      <c r="D97" s="24">
        <v>12</v>
      </c>
      <c r="E97" s="23">
        <v>7</v>
      </c>
      <c r="F97" s="407">
        <v>3000</v>
      </c>
      <c r="G97" s="25">
        <f t="shared" si="70"/>
        <v>252000</v>
      </c>
      <c r="H97" s="268">
        <f t="shared" si="71"/>
        <v>427.23450427234502</v>
      </c>
      <c r="I97" s="642">
        <f t="shared" si="72"/>
        <v>7560</v>
      </c>
      <c r="J97" s="642">
        <f>550*D97</f>
        <v>6600</v>
      </c>
      <c r="K97" s="642">
        <f t="shared" si="73"/>
        <v>21000</v>
      </c>
      <c r="L97" s="501"/>
      <c r="M97" s="501"/>
      <c r="N97" s="501"/>
      <c r="O97" s="565"/>
    </row>
    <row r="98" spans="1:15" x14ac:dyDescent="0.25">
      <c r="A98" s="22">
        <v>5</v>
      </c>
      <c r="B98" s="26" t="s">
        <v>1345</v>
      </c>
      <c r="C98" s="23" t="s">
        <v>28</v>
      </c>
      <c r="D98" s="24">
        <v>1</v>
      </c>
      <c r="E98" s="23">
        <v>10</v>
      </c>
      <c r="F98" s="227">
        <v>8000</v>
      </c>
      <c r="G98" s="25">
        <f t="shared" si="70"/>
        <v>80000</v>
      </c>
      <c r="H98" s="268">
        <f t="shared" ref="H98" si="74">G98/589.84</f>
        <v>135.6300013563</v>
      </c>
      <c r="I98" s="642">
        <f t="shared" si="72"/>
        <v>2400</v>
      </c>
      <c r="J98" s="642">
        <f>1600*D98</f>
        <v>1600</v>
      </c>
      <c r="K98" s="642">
        <f t="shared" si="73"/>
        <v>80000</v>
      </c>
      <c r="L98" s="501"/>
      <c r="M98" s="501"/>
      <c r="N98" s="501"/>
      <c r="O98" s="565"/>
    </row>
    <row r="99" spans="1:15" ht="16.5" thickBot="1" x14ac:dyDescent="0.3">
      <c r="A99" s="22">
        <v>6</v>
      </c>
      <c r="B99" s="26" t="s">
        <v>579</v>
      </c>
      <c r="C99" s="23" t="s">
        <v>28</v>
      </c>
      <c r="D99" s="24">
        <v>1</v>
      </c>
      <c r="E99" s="23">
        <v>10</v>
      </c>
      <c r="F99" s="25">
        <v>8000</v>
      </c>
      <c r="G99" s="25">
        <f t="shared" si="70"/>
        <v>80000</v>
      </c>
      <c r="H99" s="268">
        <f t="shared" si="71"/>
        <v>135.6300013563</v>
      </c>
      <c r="I99" s="642">
        <f t="shared" si="72"/>
        <v>2400</v>
      </c>
      <c r="J99" s="642">
        <f>1600*D99</f>
        <v>1600</v>
      </c>
      <c r="K99" s="642">
        <f t="shared" si="73"/>
        <v>80000</v>
      </c>
      <c r="L99" s="501"/>
      <c r="M99" s="501"/>
      <c r="N99" s="501"/>
      <c r="O99" s="565"/>
    </row>
    <row r="100" spans="1:15" ht="18.75" thickBot="1" x14ac:dyDescent="0.3">
      <c r="A100" s="341"/>
      <c r="B100" s="342" t="s">
        <v>1399</v>
      </c>
      <c r="C100" s="343"/>
      <c r="D100" s="343"/>
      <c r="E100" s="343"/>
      <c r="F100" s="344"/>
      <c r="G100" s="344">
        <f>SUM(G94:G99)</f>
        <v>1567000</v>
      </c>
      <c r="H100" s="516">
        <f>SUM(H94:H99)</f>
        <v>2656.6526515665264</v>
      </c>
      <c r="I100" s="263">
        <f>SUM(I94:I99)</f>
        <v>47010</v>
      </c>
      <c r="J100" s="263">
        <f>SUM(J94:J99)</f>
        <v>36900</v>
      </c>
      <c r="K100" s="501"/>
      <c r="L100" s="501"/>
      <c r="M100" s="501"/>
      <c r="N100" s="501"/>
      <c r="O100" s="565"/>
    </row>
    <row r="101" spans="1:15" ht="16.5" thickBot="1" x14ac:dyDescent="0.3">
      <c r="A101" s="22">
        <v>1</v>
      </c>
      <c r="B101" s="26" t="s">
        <v>580</v>
      </c>
      <c r="C101" s="23" t="s">
        <v>28</v>
      </c>
      <c r="D101" s="24">
        <v>16</v>
      </c>
      <c r="E101" s="23">
        <v>10</v>
      </c>
      <c r="F101" s="25">
        <v>7500</v>
      </c>
      <c r="G101" s="25">
        <f t="shared" ref="G101:G106" si="75">D101*E101*F101</f>
        <v>1200000</v>
      </c>
      <c r="H101" s="544">
        <f>G101/589.84</f>
        <v>2034.4500203445</v>
      </c>
      <c r="I101" s="642">
        <f>G101*0.03</f>
        <v>36000</v>
      </c>
      <c r="J101" s="642">
        <f>1600*D101</f>
        <v>25600</v>
      </c>
      <c r="K101" s="642">
        <f>G101/D101</f>
        <v>75000</v>
      </c>
      <c r="L101" s="501"/>
      <c r="M101" s="501"/>
      <c r="N101" s="501"/>
      <c r="O101" s="565"/>
    </row>
    <row r="102" spans="1:15" x14ac:dyDescent="0.25">
      <c r="A102" s="22">
        <v>2</v>
      </c>
      <c r="B102" s="26" t="s">
        <v>581</v>
      </c>
      <c r="C102" s="23" t="s">
        <v>28</v>
      </c>
      <c r="D102" s="24">
        <v>8</v>
      </c>
      <c r="E102" s="23">
        <v>10</v>
      </c>
      <c r="F102" s="25">
        <v>3000</v>
      </c>
      <c r="G102" s="25">
        <f t="shared" si="75"/>
        <v>240000</v>
      </c>
      <c r="H102" s="268">
        <f t="shared" ref="H102:H106" si="76">G102/589.84</f>
        <v>406.8900040689</v>
      </c>
      <c r="I102" s="642">
        <f t="shared" ref="I102:I106" si="77">G102*0.03</f>
        <v>7200</v>
      </c>
      <c r="J102" s="642">
        <f>1050*D102</f>
        <v>8400</v>
      </c>
      <c r="K102" s="642">
        <f t="shared" ref="K102:K106" si="78">G102/D102</f>
        <v>30000</v>
      </c>
      <c r="L102" s="501"/>
      <c r="M102" s="501"/>
      <c r="N102" s="501"/>
      <c r="O102" s="565"/>
    </row>
    <row r="103" spans="1:15" ht="14.65" customHeight="1" x14ac:dyDescent="0.25">
      <c r="A103" s="22">
        <v>3</v>
      </c>
      <c r="B103" s="26" t="s">
        <v>582</v>
      </c>
      <c r="C103" s="23" t="s">
        <v>28</v>
      </c>
      <c r="D103" s="24">
        <v>1</v>
      </c>
      <c r="E103" s="23">
        <v>10</v>
      </c>
      <c r="F103" s="25">
        <v>7500</v>
      </c>
      <c r="G103" s="25">
        <f t="shared" si="75"/>
        <v>75000</v>
      </c>
      <c r="H103" s="268">
        <f t="shared" si="76"/>
        <v>127.15312627153125</v>
      </c>
      <c r="I103" s="642">
        <f t="shared" si="77"/>
        <v>2250</v>
      </c>
      <c r="J103" s="642">
        <f>1600*D103</f>
        <v>1600</v>
      </c>
      <c r="K103" s="642">
        <f t="shared" si="78"/>
        <v>75000</v>
      </c>
      <c r="L103" s="501"/>
      <c r="M103" s="501"/>
      <c r="N103" s="501"/>
      <c r="O103" s="565"/>
    </row>
    <row r="104" spans="1:15" ht="14.65" customHeight="1" x14ac:dyDescent="0.25">
      <c r="A104" s="22">
        <v>4</v>
      </c>
      <c r="B104" s="26" t="s">
        <v>1365</v>
      </c>
      <c r="C104" s="23" t="s">
        <v>28</v>
      </c>
      <c r="D104" s="24">
        <v>8</v>
      </c>
      <c r="E104" s="23">
        <v>7</v>
      </c>
      <c r="F104" s="407">
        <v>3000</v>
      </c>
      <c r="G104" s="25">
        <f t="shared" si="75"/>
        <v>168000</v>
      </c>
      <c r="H104" s="268">
        <f t="shared" si="76"/>
        <v>284.82300284823003</v>
      </c>
      <c r="I104" s="642">
        <f t="shared" si="77"/>
        <v>5040</v>
      </c>
      <c r="J104" s="642">
        <f>550*D104</f>
        <v>4400</v>
      </c>
      <c r="K104" s="642">
        <f t="shared" si="78"/>
        <v>21000</v>
      </c>
      <c r="L104" s="501"/>
      <c r="M104" s="501"/>
      <c r="N104" s="501"/>
      <c r="O104" s="565"/>
    </row>
    <row r="105" spans="1:15" x14ac:dyDescent="0.25">
      <c r="A105" s="22">
        <v>5</v>
      </c>
      <c r="B105" s="26" t="s">
        <v>1345</v>
      </c>
      <c r="C105" s="23" t="s">
        <v>28</v>
      </c>
      <c r="D105" s="24">
        <v>1</v>
      </c>
      <c r="E105" s="23">
        <v>10</v>
      </c>
      <c r="F105" s="227">
        <v>8000</v>
      </c>
      <c r="G105" s="25">
        <f t="shared" si="75"/>
        <v>80000</v>
      </c>
      <c r="H105" s="268">
        <f t="shared" ref="H105" si="79">G105/589.84</f>
        <v>135.6300013563</v>
      </c>
      <c r="I105" s="642">
        <f t="shared" si="77"/>
        <v>2400</v>
      </c>
      <c r="J105" s="642">
        <f>1600*D105</f>
        <v>1600</v>
      </c>
      <c r="K105" s="642">
        <f t="shared" si="78"/>
        <v>80000</v>
      </c>
      <c r="L105" s="501"/>
      <c r="M105" s="501"/>
      <c r="N105" s="501"/>
      <c r="O105" s="565"/>
    </row>
    <row r="106" spans="1:15" ht="16.5" thickBot="1" x14ac:dyDescent="0.3">
      <c r="A106" s="22">
        <v>6</v>
      </c>
      <c r="B106" s="26" t="s">
        <v>583</v>
      </c>
      <c r="C106" s="23" t="s">
        <v>28</v>
      </c>
      <c r="D106" s="24">
        <v>1</v>
      </c>
      <c r="E106" s="23">
        <v>10</v>
      </c>
      <c r="F106" s="25">
        <v>8000</v>
      </c>
      <c r="G106" s="25">
        <f t="shared" si="75"/>
        <v>80000</v>
      </c>
      <c r="H106" s="268">
        <f t="shared" si="76"/>
        <v>135.6300013563</v>
      </c>
      <c r="I106" s="642">
        <f t="shared" si="77"/>
        <v>2400</v>
      </c>
      <c r="J106" s="642">
        <f>1600*D106</f>
        <v>1600</v>
      </c>
      <c r="K106" s="642">
        <f t="shared" si="78"/>
        <v>80000</v>
      </c>
      <c r="L106" s="501"/>
      <c r="M106" s="501"/>
      <c r="N106" s="501"/>
      <c r="O106" s="565"/>
    </row>
    <row r="107" spans="1:15" ht="18.75" thickBot="1" x14ac:dyDescent="0.3">
      <c r="A107" s="341"/>
      <c r="B107" s="342" t="s">
        <v>1399</v>
      </c>
      <c r="C107" s="343"/>
      <c r="D107" s="343"/>
      <c r="E107" s="343"/>
      <c r="F107" s="344"/>
      <c r="G107" s="344">
        <f>SUM(G101:G106)</f>
        <v>1843000</v>
      </c>
      <c r="H107" s="516">
        <f>SUM(H101:H106)</f>
        <v>3124.576156245761</v>
      </c>
      <c r="I107" s="263">
        <f>SUM(I101:I106)</f>
        <v>55290</v>
      </c>
      <c r="J107" s="263">
        <f>SUM(J101:J106)</f>
        <v>43200</v>
      </c>
      <c r="K107" s="501"/>
      <c r="L107" s="501"/>
      <c r="M107" s="501"/>
      <c r="N107" s="501"/>
      <c r="O107" s="565"/>
    </row>
    <row r="108" spans="1:15" ht="18.75" thickBot="1" x14ac:dyDescent="0.3">
      <c r="A108" s="242"/>
      <c r="B108" s="243"/>
      <c r="C108" s="242"/>
      <c r="D108" s="242"/>
      <c r="E108" s="242"/>
      <c r="F108" s="244"/>
      <c r="G108" s="244"/>
      <c r="H108" s="506"/>
      <c r="I108" s="553"/>
      <c r="J108" s="501"/>
      <c r="K108" s="501"/>
      <c r="L108" s="501"/>
      <c r="M108" s="501"/>
      <c r="N108" s="501"/>
      <c r="O108" s="565"/>
    </row>
    <row r="109" spans="1:15" ht="16.5" thickBot="1" x14ac:dyDescent="0.3">
      <c r="A109" s="22">
        <v>1</v>
      </c>
      <c r="B109" s="26" t="s">
        <v>69</v>
      </c>
      <c r="C109" s="23" t="s">
        <v>28</v>
      </c>
      <c r="D109" s="24">
        <v>2</v>
      </c>
      <c r="E109" s="112">
        <v>12</v>
      </c>
      <c r="F109" s="25">
        <v>12500</v>
      </c>
      <c r="G109" s="25">
        <f t="shared" ref="G109:G117" si="80">D109*E109*F109</f>
        <v>300000</v>
      </c>
      <c r="H109" s="544">
        <f t="shared" ref="H109:H117" si="81">G109/589.84</f>
        <v>508.612505086125</v>
      </c>
      <c r="I109" s="642">
        <f t="shared" ref="I109:I117" si="82">G109*0.03</f>
        <v>9000</v>
      </c>
      <c r="J109" s="642">
        <f>1900*D109</f>
        <v>3800</v>
      </c>
      <c r="K109" s="642">
        <f t="shared" ref="K109:K117" si="83">G109/D109</f>
        <v>150000</v>
      </c>
      <c r="L109" s="501"/>
      <c r="M109" s="501"/>
      <c r="N109" s="501"/>
      <c r="O109" s="565"/>
    </row>
    <row r="110" spans="1:15" x14ac:dyDescent="0.25">
      <c r="A110" s="22">
        <v>2</v>
      </c>
      <c r="B110" s="26" t="s">
        <v>70</v>
      </c>
      <c r="C110" s="23" t="s">
        <v>28</v>
      </c>
      <c r="D110" s="24">
        <v>1</v>
      </c>
      <c r="E110" s="112">
        <v>10</v>
      </c>
      <c r="F110" s="25">
        <v>10000</v>
      </c>
      <c r="G110" s="25">
        <f t="shared" si="80"/>
        <v>100000</v>
      </c>
      <c r="H110" s="268">
        <f t="shared" si="81"/>
        <v>169.537501695375</v>
      </c>
      <c r="I110" s="642">
        <f t="shared" si="82"/>
        <v>3000</v>
      </c>
      <c r="J110" s="642">
        <f t="shared" ref="J110:J116" si="84">1600*D110</f>
        <v>1600</v>
      </c>
      <c r="K110" s="642">
        <f t="shared" si="83"/>
        <v>100000</v>
      </c>
      <c r="L110" s="501"/>
      <c r="M110" s="501"/>
      <c r="N110" s="501"/>
      <c r="O110" s="565"/>
    </row>
    <row r="111" spans="1:15" x14ac:dyDescent="0.25">
      <c r="A111" s="22">
        <v>3</v>
      </c>
      <c r="B111" s="26" t="s">
        <v>71</v>
      </c>
      <c r="C111" s="23" t="s">
        <v>28</v>
      </c>
      <c r="D111" s="24">
        <v>2</v>
      </c>
      <c r="E111" s="112">
        <v>13</v>
      </c>
      <c r="F111" s="25">
        <v>10000</v>
      </c>
      <c r="G111" s="25">
        <f t="shared" si="80"/>
        <v>260000</v>
      </c>
      <c r="H111" s="268">
        <f t="shared" si="81"/>
        <v>440.797504407975</v>
      </c>
      <c r="I111" s="642">
        <f t="shared" si="82"/>
        <v>7800</v>
      </c>
      <c r="J111" s="642">
        <f>1900*D111</f>
        <v>3800</v>
      </c>
      <c r="K111" s="642">
        <f t="shared" si="83"/>
        <v>130000</v>
      </c>
      <c r="L111" s="501"/>
      <c r="M111" s="501"/>
      <c r="N111" s="501"/>
      <c r="O111" s="565"/>
    </row>
    <row r="112" spans="1:15" ht="16.5" thickBot="1" x14ac:dyDescent="0.3">
      <c r="A112" s="22">
        <v>4</v>
      </c>
      <c r="B112" s="26" t="s">
        <v>72</v>
      </c>
      <c r="C112" s="23" t="s">
        <v>28</v>
      </c>
      <c r="D112" s="24">
        <v>1</v>
      </c>
      <c r="E112" s="112">
        <v>13</v>
      </c>
      <c r="F112" s="25">
        <v>10000</v>
      </c>
      <c r="G112" s="25">
        <f t="shared" si="80"/>
        <v>130000</v>
      </c>
      <c r="H112" s="268">
        <f t="shared" si="81"/>
        <v>220.3987522039875</v>
      </c>
      <c r="I112" s="642">
        <f t="shared" si="82"/>
        <v>3900</v>
      </c>
      <c r="J112" s="642">
        <f t="shared" si="84"/>
        <v>1600</v>
      </c>
      <c r="K112" s="642">
        <f t="shared" si="83"/>
        <v>130000</v>
      </c>
      <c r="L112" s="501"/>
      <c r="M112" s="501"/>
      <c r="N112" s="501"/>
      <c r="O112" s="565"/>
    </row>
    <row r="113" spans="1:15" ht="16.5" thickBot="1" x14ac:dyDescent="0.3">
      <c r="A113" s="22">
        <v>5</v>
      </c>
      <c r="B113" s="26" t="s">
        <v>73</v>
      </c>
      <c r="C113" s="23" t="s">
        <v>28</v>
      </c>
      <c r="D113" s="24">
        <v>1</v>
      </c>
      <c r="E113" s="112">
        <v>10</v>
      </c>
      <c r="F113" s="25">
        <v>10000</v>
      </c>
      <c r="G113" s="25">
        <f t="shared" si="80"/>
        <v>100000</v>
      </c>
      <c r="H113" s="544">
        <f t="shared" si="81"/>
        <v>169.537501695375</v>
      </c>
      <c r="I113" s="642">
        <f t="shared" si="82"/>
        <v>3000</v>
      </c>
      <c r="J113" s="642">
        <f t="shared" si="84"/>
        <v>1600</v>
      </c>
      <c r="K113" s="642">
        <f t="shared" si="83"/>
        <v>100000</v>
      </c>
      <c r="L113" s="501"/>
      <c r="M113" s="501"/>
      <c r="N113" s="501"/>
      <c r="O113" s="565"/>
    </row>
    <row r="114" spans="1:15" ht="16.5" thickBot="1" x14ac:dyDescent="0.3">
      <c r="A114" s="22">
        <v>6</v>
      </c>
      <c r="B114" s="26" t="s">
        <v>584</v>
      </c>
      <c r="C114" s="23" t="s">
        <v>28</v>
      </c>
      <c r="D114" s="24">
        <v>1</v>
      </c>
      <c r="E114" s="112">
        <v>10</v>
      </c>
      <c r="F114" s="25">
        <v>10000</v>
      </c>
      <c r="G114" s="25">
        <f t="shared" si="80"/>
        <v>100000</v>
      </c>
      <c r="H114" s="544">
        <f t="shared" si="81"/>
        <v>169.537501695375</v>
      </c>
      <c r="I114" s="642">
        <f t="shared" si="82"/>
        <v>3000</v>
      </c>
      <c r="J114" s="642">
        <f t="shared" si="84"/>
        <v>1600</v>
      </c>
      <c r="K114" s="642">
        <f t="shared" si="83"/>
        <v>100000</v>
      </c>
      <c r="L114" s="501"/>
      <c r="M114" s="501"/>
      <c r="N114" s="501"/>
      <c r="O114" s="565"/>
    </row>
    <row r="115" spans="1:15" x14ac:dyDescent="0.25">
      <c r="A115" s="22">
        <v>7</v>
      </c>
      <c r="B115" s="26" t="s">
        <v>74</v>
      </c>
      <c r="C115" s="23" t="s">
        <v>28</v>
      </c>
      <c r="D115" s="24">
        <v>5</v>
      </c>
      <c r="E115" s="112">
        <v>10</v>
      </c>
      <c r="F115" s="25">
        <v>10000</v>
      </c>
      <c r="G115" s="25">
        <f t="shared" si="80"/>
        <v>500000</v>
      </c>
      <c r="H115" s="268">
        <f t="shared" si="81"/>
        <v>847.687508476875</v>
      </c>
      <c r="I115" s="642">
        <f t="shared" si="82"/>
        <v>15000</v>
      </c>
      <c r="J115" s="642">
        <f t="shared" si="84"/>
        <v>8000</v>
      </c>
      <c r="K115" s="642">
        <f t="shared" si="83"/>
        <v>100000</v>
      </c>
      <c r="L115" s="501"/>
      <c r="M115" s="501"/>
      <c r="N115" s="501"/>
      <c r="O115" s="565"/>
    </row>
    <row r="116" spans="1:15" x14ac:dyDescent="0.25">
      <c r="A116" s="22">
        <v>8</v>
      </c>
      <c r="B116" s="26" t="s">
        <v>75</v>
      </c>
      <c r="C116" s="23" t="s">
        <v>28</v>
      </c>
      <c r="D116" s="24">
        <v>2</v>
      </c>
      <c r="E116" s="112">
        <v>10</v>
      </c>
      <c r="F116" s="25">
        <v>10000</v>
      </c>
      <c r="G116" s="25">
        <f t="shared" si="80"/>
        <v>200000</v>
      </c>
      <c r="H116" s="268">
        <f t="shared" si="81"/>
        <v>339.07500339075</v>
      </c>
      <c r="I116" s="642">
        <f t="shared" si="82"/>
        <v>6000</v>
      </c>
      <c r="J116" s="642">
        <f t="shared" si="84"/>
        <v>3200</v>
      </c>
      <c r="K116" s="642">
        <f t="shared" si="83"/>
        <v>100000</v>
      </c>
      <c r="L116" s="501"/>
      <c r="M116" s="501"/>
      <c r="N116" s="501"/>
      <c r="O116" s="565"/>
    </row>
    <row r="117" spans="1:15" ht="16.5" thickBot="1" x14ac:dyDescent="0.3">
      <c r="A117" s="22">
        <v>9</v>
      </c>
      <c r="B117" s="26" t="s">
        <v>585</v>
      </c>
      <c r="C117" s="23" t="s">
        <v>28</v>
      </c>
      <c r="D117" s="24">
        <v>1</v>
      </c>
      <c r="E117" s="112">
        <v>10</v>
      </c>
      <c r="F117" s="25">
        <v>5000</v>
      </c>
      <c r="G117" s="25">
        <f t="shared" si="80"/>
        <v>50000</v>
      </c>
      <c r="H117" s="268">
        <f t="shared" si="81"/>
        <v>84.7687508476875</v>
      </c>
      <c r="I117" s="642">
        <f t="shared" si="82"/>
        <v>1500</v>
      </c>
      <c r="J117" s="642">
        <f>1050*D117</f>
        <v>1050</v>
      </c>
      <c r="K117" s="642">
        <f t="shared" si="83"/>
        <v>50000</v>
      </c>
      <c r="L117" s="501"/>
      <c r="M117" s="501"/>
      <c r="N117" s="501"/>
      <c r="O117" s="565"/>
    </row>
    <row r="118" spans="1:15" ht="18.75" thickBot="1" x14ac:dyDescent="0.3">
      <c r="A118" s="247" t="s">
        <v>522</v>
      </c>
      <c r="B118" s="248"/>
      <c r="C118" s="247"/>
      <c r="D118" s="247"/>
      <c r="E118" s="247"/>
      <c r="F118" s="244"/>
      <c r="G118" s="244">
        <f>SUM(G109:G117)</f>
        <v>1740000</v>
      </c>
      <c r="H118" s="506">
        <f>SUM(H109:H117)</f>
        <v>2949.9525294995246</v>
      </c>
      <c r="I118" s="263">
        <f>SUM(I109:I117)</f>
        <v>52200</v>
      </c>
      <c r="J118" s="263">
        <f>SUM(J109:J117)</f>
        <v>26250</v>
      </c>
      <c r="K118" s="501"/>
      <c r="L118" s="501"/>
      <c r="M118" s="501"/>
      <c r="N118" s="501"/>
      <c r="O118" s="565"/>
    </row>
    <row r="119" spans="1:15" ht="33" customHeight="1" thickBot="1" x14ac:dyDescent="0.3">
      <c r="A119" s="780" t="s">
        <v>526</v>
      </c>
      <c r="B119" s="781"/>
      <c r="C119" s="781"/>
      <c r="D119" s="781"/>
      <c r="E119" s="783"/>
      <c r="F119" s="348"/>
      <c r="G119" s="349"/>
      <c r="H119" s="545"/>
      <c r="I119" s="553"/>
      <c r="J119" s="501"/>
      <c r="K119" s="501"/>
      <c r="L119" s="501"/>
      <c r="M119" s="501"/>
      <c r="N119" s="501"/>
      <c r="O119" s="565"/>
    </row>
    <row r="120" spans="1:15" ht="18.75" thickBot="1" x14ac:dyDescent="0.3">
      <c r="A120" s="205"/>
      <c r="B120" s="205" t="s">
        <v>524</v>
      </c>
      <c r="C120" s="205"/>
      <c r="D120" s="205"/>
      <c r="E120" s="205"/>
      <c r="F120" s="205"/>
      <c r="G120" s="205"/>
      <c r="H120" s="546"/>
      <c r="I120" s="554"/>
      <c r="J120" s="501"/>
      <c r="K120" s="501"/>
      <c r="L120" s="501"/>
      <c r="M120" s="501"/>
      <c r="N120" s="501"/>
      <c r="O120" s="565"/>
    </row>
    <row r="121" spans="1:15" ht="16.5" thickBot="1" x14ac:dyDescent="0.3">
      <c r="A121" s="22">
        <v>1</v>
      </c>
      <c r="B121" s="26" t="s">
        <v>1449</v>
      </c>
      <c r="C121" s="23" t="s">
        <v>83</v>
      </c>
      <c r="D121" s="19">
        <v>12</v>
      </c>
      <c r="E121" s="19">
        <v>0</v>
      </c>
      <c r="F121" s="28">
        <v>10000</v>
      </c>
      <c r="G121" s="25">
        <f t="shared" ref="G121:G139" si="85">D121*E121*F121</f>
        <v>0</v>
      </c>
      <c r="H121" s="544">
        <f t="shared" ref="H121:H139" si="86">G121/589.84</f>
        <v>0</v>
      </c>
      <c r="I121" s="518"/>
      <c r="J121" s="501"/>
      <c r="K121" s="501"/>
      <c r="L121" s="501"/>
      <c r="M121" s="501"/>
      <c r="N121" s="501"/>
      <c r="O121" s="565"/>
    </row>
    <row r="122" spans="1:15" ht="16.5" thickBot="1" x14ac:dyDescent="0.3">
      <c r="A122" s="22">
        <v>2</v>
      </c>
      <c r="B122" s="26" t="s">
        <v>1294</v>
      </c>
      <c r="C122" s="23" t="s">
        <v>17</v>
      </c>
      <c r="D122" s="19">
        <f>12*100*0.2*10</f>
        <v>2400</v>
      </c>
      <c r="E122" s="19">
        <v>1</v>
      </c>
      <c r="F122" s="28">
        <v>800</v>
      </c>
      <c r="G122" s="25">
        <f t="shared" si="85"/>
        <v>1920000</v>
      </c>
      <c r="H122" s="544">
        <f t="shared" si="86"/>
        <v>3255.1200325512</v>
      </c>
      <c r="I122" s="518"/>
      <c r="J122" s="501"/>
      <c r="K122" s="501"/>
      <c r="L122" s="501"/>
      <c r="M122" s="501"/>
      <c r="N122" s="501"/>
      <c r="O122" s="565"/>
    </row>
    <row r="123" spans="1:15" ht="16.5" thickBot="1" x14ac:dyDescent="0.3">
      <c r="A123" s="22">
        <v>3</v>
      </c>
      <c r="B123" s="26" t="s">
        <v>1295</v>
      </c>
      <c r="C123" s="23" t="s">
        <v>83</v>
      </c>
      <c r="D123" s="19">
        <v>0</v>
      </c>
      <c r="E123" s="19">
        <v>0</v>
      </c>
      <c r="F123" s="28">
        <v>10000</v>
      </c>
      <c r="G123" s="25">
        <f t="shared" si="85"/>
        <v>0</v>
      </c>
      <c r="H123" s="544">
        <f t="shared" si="86"/>
        <v>0</v>
      </c>
      <c r="I123" s="518"/>
      <c r="J123" s="501"/>
      <c r="K123" s="501"/>
      <c r="L123" s="501"/>
      <c r="M123" s="501"/>
      <c r="N123" s="501"/>
      <c r="O123" s="565"/>
    </row>
    <row r="124" spans="1:15" ht="16.5" thickBot="1" x14ac:dyDescent="0.3">
      <c r="A124" s="22">
        <v>4</v>
      </c>
      <c r="B124" s="26" t="s">
        <v>1296</v>
      </c>
      <c r="C124" s="23" t="s">
        <v>30</v>
      </c>
      <c r="D124" s="19">
        <f>D123*3</f>
        <v>0</v>
      </c>
      <c r="E124" s="19">
        <v>0</v>
      </c>
      <c r="F124" s="28">
        <v>850</v>
      </c>
      <c r="G124" s="25">
        <f t="shared" si="85"/>
        <v>0</v>
      </c>
      <c r="H124" s="544">
        <f t="shared" si="86"/>
        <v>0</v>
      </c>
      <c r="I124" s="518"/>
      <c r="J124" s="501"/>
      <c r="K124" s="501"/>
      <c r="L124" s="501"/>
      <c r="M124" s="501"/>
      <c r="N124" s="501"/>
      <c r="O124" s="565"/>
    </row>
    <row r="125" spans="1:15" ht="16.5" thickBot="1" x14ac:dyDescent="0.3">
      <c r="A125" s="22">
        <v>5</v>
      </c>
      <c r="B125" s="26" t="s">
        <v>1297</v>
      </c>
      <c r="C125" s="23" t="s">
        <v>84</v>
      </c>
      <c r="D125" s="19">
        <v>2</v>
      </c>
      <c r="E125" s="19">
        <v>0</v>
      </c>
      <c r="F125" s="28">
        <v>50000</v>
      </c>
      <c r="G125" s="25">
        <f t="shared" si="85"/>
        <v>0</v>
      </c>
      <c r="H125" s="544">
        <f t="shared" si="86"/>
        <v>0</v>
      </c>
      <c r="I125" s="518"/>
      <c r="J125" s="501"/>
      <c r="K125" s="501"/>
      <c r="L125" s="501"/>
      <c r="M125" s="501"/>
      <c r="N125" s="501"/>
      <c r="O125" s="565"/>
    </row>
    <row r="126" spans="1:15" ht="16.5" thickBot="1" x14ac:dyDescent="0.3">
      <c r="A126" s="22">
        <v>6</v>
      </c>
      <c r="B126" s="26" t="s">
        <v>1298</v>
      </c>
      <c r="C126" s="23" t="s">
        <v>29</v>
      </c>
      <c r="D126" s="19">
        <f>(D125*100*0.5*10)</f>
        <v>1000</v>
      </c>
      <c r="E126" s="19">
        <v>1</v>
      </c>
      <c r="F126" s="28">
        <v>800</v>
      </c>
      <c r="G126" s="25">
        <f t="shared" si="85"/>
        <v>800000</v>
      </c>
      <c r="H126" s="544">
        <f t="shared" si="86"/>
        <v>1356.300013563</v>
      </c>
      <c r="I126" s="518"/>
      <c r="J126" s="501"/>
      <c r="K126" s="501"/>
      <c r="L126" s="501"/>
      <c r="M126" s="501"/>
      <c r="N126" s="501"/>
      <c r="O126" s="565"/>
    </row>
    <row r="127" spans="1:15" ht="16.5" thickBot="1" x14ac:dyDescent="0.3">
      <c r="A127" s="22">
        <v>7</v>
      </c>
      <c r="B127" s="26" t="s">
        <v>1350</v>
      </c>
      <c r="C127" s="23" t="s">
        <v>90</v>
      </c>
      <c r="D127" s="19">
        <f>100*0.2*1*10</f>
        <v>200</v>
      </c>
      <c r="E127" s="19">
        <v>1</v>
      </c>
      <c r="F127" s="28">
        <v>800</v>
      </c>
      <c r="G127" s="25">
        <f t="shared" si="85"/>
        <v>160000</v>
      </c>
      <c r="H127" s="544">
        <f t="shared" si="86"/>
        <v>271.2600027126</v>
      </c>
      <c r="I127" s="518"/>
      <c r="J127" s="501"/>
      <c r="K127" s="501"/>
      <c r="L127" s="501"/>
      <c r="M127" s="501"/>
      <c r="N127" s="501"/>
      <c r="O127" s="565"/>
    </row>
    <row r="128" spans="1:15" ht="16.5" thickBot="1" x14ac:dyDescent="0.3">
      <c r="A128" s="22">
        <v>8</v>
      </c>
      <c r="B128" s="26" t="s">
        <v>1299</v>
      </c>
      <c r="C128" s="23" t="s">
        <v>1280</v>
      </c>
      <c r="D128" s="19">
        <v>0</v>
      </c>
      <c r="E128" s="19">
        <v>1</v>
      </c>
      <c r="F128" s="28">
        <f>75000+225000</f>
        <v>300000</v>
      </c>
      <c r="G128" s="25">
        <f t="shared" si="85"/>
        <v>0</v>
      </c>
      <c r="H128" s="544">
        <f t="shared" si="86"/>
        <v>0</v>
      </c>
      <c r="I128" s="518"/>
      <c r="J128" s="501"/>
      <c r="K128" s="501"/>
      <c r="L128" s="501"/>
      <c r="M128" s="501"/>
      <c r="N128" s="501"/>
      <c r="O128" s="565"/>
    </row>
    <row r="129" spans="1:15" ht="16.5" thickBot="1" x14ac:dyDescent="0.3">
      <c r="A129" s="22">
        <v>9</v>
      </c>
      <c r="B129" s="26" t="s">
        <v>1446</v>
      </c>
      <c r="C129" s="23" t="s">
        <v>30</v>
      </c>
      <c r="D129" s="19">
        <f>14*3*10</f>
        <v>420</v>
      </c>
      <c r="E129" s="19">
        <v>1</v>
      </c>
      <c r="F129" s="28">
        <v>850</v>
      </c>
      <c r="G129" s="25">
        <f t="shared" si="85"/>
        <v>357000</v>
      </c>
      <c r="H129" s="544">
        <f t="shared" si="86"/>
        <v>605.24888105248874</v>
      </c>
      <c r="I129" s="518"/>
      <c r="J129" s="501"/>
      <c r="K129" s="501"/>
      <c r="L129" s="501"/>
      <c r="M129" s="501"/>
      <c r="N129" s="501"/>
      <c r="O129" s="565"/>
    </row>
    <row r="130" spans="1:15" ht="16.5" thickBot="1" x14ac:dyDescent="0.3">
      <c r="A130" s="22">
        <v>10</v>
      </c>
      <c r="B130" s="26" t="s">
        <v>1300</v>
      </c>
      <c r="C130" s="23" t="s">
        <v>1301</v>
      </c>
      <c r="D130" s="19">
        <v>0</v>
      </c>
      <c r="E130" s="19">
        <v>1</v>
      </c>
      <c r="F130" s="28">
        <v>6000</v>
      </c>
      <c r="G130" s="25">
        <f t="shared" si="85"/>
        <v>0</v>
      </c>
      <c r="H130" s="544">
        <f t="shared" si="86"/>
        <v>0</v>
      </c>
      <c r="I130" s="518"/>
      <c r="J130" s="501"/>
      <c r="K130" s="501"/>
      <c r="L130" s="501"/>
      <c r="M130" s="501"/>
      <c r="N130" s="501"/>
      <c r="O130" s="565"/>
    </row>
    <row r="131" spans="1:15" ht="16.5" thickBot="1" x14ac:dyDescent="0.3">
      <c r="A131" s="22">
        <v>11</v>
      </c>
      <c r="B131" s="26" t="s">
        <v>266</v>
      </c>
      <c r="C131" s="23" t="s">
        <v>1302</v>
      </c>
      <c r="D131" s="19">
        <v>0</v>
      </c>
      <c r="E131" s="19">
        <v>0</v>
      </c>
      <c r="F131" s="19">
        <v>0</v>
      </c>
      <c r="G131" s="25">
        <f t="shared" si="85"/>
        <v>0</v>
      </c>
      <c r="H131" s="544">
        <f t="shared" si="86"/>
        <v>0</v>
      </c>
      <c r="I131" s="518"/>
      <c r="J131" s="501"/>
      <c r="K131" s="501"/>
      <c r="L131" s="501"/>
      <c r="M131" s="501"/>
      <c r="N131" s="501"/>
      <c r="O131" s="565"/>
    </row>
    <row r="132" spans="1:15" ht="16.5" thickBot="1" x14ac:dyDescent="0.3">
      <c r="A132" s="22">
        <v>12</v>
      </c>
      <c r="B132" s="26" t="s">
        <v>267</v>
      </c>
      <c r="C132" s="23" t="s">
        <v>1302</v>
      </c>
      <c r="D132" s="19">
        <v>0</v>
      </c>
      <c r="E132" s="19">
        <v>0</v>
      </c>
      <c r="F132" s="19">
        <v>0</v>
      </c>
      <c r="G132" s="25">
        <f t="shared" si="85"/>
        <v>0</v>
      </c>
      <c r="H132" s="544">
        <f t="shared" si="86"/>
        <v>0</v>
      </c>
      <c r="I132" s="518"/>
      <c r="J132" s="501"/>
      <c r="K132" s="501"/>
      <c r="L132" s="501"/>
      <c r="M132" s="501"/>
      <c r="N132" s="501"/>
      <c r="O132" s="565"/>
    </row>
    <row r="133" spans="1:15" ht="16.5" thickBot="1" x14ac:dyDescent="0.3">
      <c r="A133" s="22">
        <v>13</v>
      </c>
      <c r="B133" s="26" t="s">
        <v>1392</v>
      </c>
      <c r="C133" s="23" t="s">
        <v>1302</v>
      </c>
      <c r="D133" s="20">
        <v>1</v>
      </c>
      <c r="E133" s="19">
        <v>1</v>
      </c>
      <c r="F133" s="21">
        <v>20000</v>
      </c>
      <c r="G133" s="25">
        <f t="shared" si="85"/>
        <v>20000</v>
      </c>
      <c r="H133" s="544">
        <f t="shared" si="86"/>
        <v>33.907500339075</v>
      </c>
      <c r="I133" s="518"/>
      <c r="J133" s="501"/>
      <c r="K133" s="501"/>
      <c r="L133" s="501"/>
      <c r="M133" s="501"/>
      <c r="N133" s="501"/>
      <c r="O133" s="565"/>
    </row>
    <row r="134" spans="1:15" ht="16.5" thickBot="1" x14ac:dyDescent="0.3">
      <c r="A134" s="22">
        <v>14</v>
      </c>
      <c r="B134" s="26" t="s">
        <v>269</v>
      </c>
      <c r="C134" s="23" t="s">
        <v>1302</v>
      </c>
      <c r="D134" s="20">
        <v>0</v>
      </c>
      <c r="E134" s="20">
        <v>0</v>
      </c>
      <c r="F134" s="20">
        <v>0</v>
      </c>
      <c r="G134" s="25">
        <f t="shared" si="85"/>
        <v>0</v>
      </c>
      <c r="H134" s="544">
        <f t="shared" si="86"/>
        <v>0</v>
      </c>
      <c r="I134" s="518"/>
      <c r="J134" s="501"/>
      <c r="K134" s="501"/>
      <c r="L134" s="501"/>
      <c r="M134" s="501"/>
      <c r="N134" s="501"/>
      <c r="O134" s="565"/>
    </row>
    <row r="135" spans="1:15" ht="16.5" thickBot="1" x14ac:dyDescent="0.3">
      <c r="A135" s="22">
        <v>15</v>
      </c>
      <c r="B135" s="26" t="s">
        <v>87</v>
      </c>
      <c r="C135" s="23" t="s">
        <v>85</v>
      </c>
      <c r="D135" s="20">
        <v>0</v>
      </c>
      <c r="E135" s="20">
        <v>0</v>
      </c>
      <c r="F135" s="20">
        <v>0</v>
      </c>
      <c r="G135" s="25">
        <f t="shared" si="85"/>
        <v>0</v>
      </c>
      <c r="H135" s="544">
        <f t="shared" si="86"/>
        <v>0</v>
      </c>
      <c r="I135" s="518"/>
      <c r="J135" s="501"/>
      <c r="K135" s="501"/>
      <c r="L135" s="501"/>
      <c r="M135" s="501"/>
      <c r="N135" s="501"/>
      <c r="O135" s="565"/>
    </row>
    <row r="136" spans="1:15" ht="16.5" thickBot="1" x14ac:dyDescent="0.3">
      <c r="A136" s="22">
        <v>16</v>
      </c>
      <c r="B136" s="26" t="s">
        <v>1303</v>
      </c>
      <c r="C136" s="23" t="s">
        <v>85</v>
      </c>
      <c r="D136" s="20">
        <v>0</v>
      </c>
      <c r="E136" s="20">
        <v>0</v>
      </c>
      <c r="F136" s="20">
        <v>0</v>
      </c>
      <c r="G136" s="25">
        <f t="shared" si="85"/>
        <v>0</v>
      </c>
      <c r="H136" s="544">
        <f t="shared" si="86"/>
        <v>0</v>
      </c>
      <c r="I136" s="518"/>
      <c r="J136" s="501"/>
      <c r="K136" s="501"/>
      <c r="L136" s="501"/>
      <c r="M136" s="501"/>
      <c r="N136" s="501"/>
      <c r="O136" s="565"/>
    </row>
    <row r="137" spans="1:15" ht="16.5" thickBot="1" x14ac:dyDescent="0.3">
      <c r="A137" s="22">
        <v>17</v>
      </c>
      <c r="B137" s="26" t="s">
        <v>270</v>
      </c>
      <c r="C137" s="23" t="s">
        <v>29</v>
      </c>
      <c r="D137" s="20">
        <v>20</v>
      </c>
      <c r="E137" s="19">
        <v>10</v>
      </c>
      <c r="F137" s="21">
        <v>800</v>
      </c>
      <c r="G137" s="25">
        <f t="shared" si="85"/>
        <v>160000</v>
      </c>
      <c r="H137" s="544">
        <f t="shared" si="86"/>
        <v>271.2600027126</v>
      </c>
      <c r="I137" s="518"/>
      <c r="J137" s="501"/>
      <c r="K137" s="501"/>
      <c r="L137" s="501"/>
      <c r="M137" s="501"/>
      <c r="N137" s="501"/>
      <c r="O137" s="565"/>
    </row>
    <row r="138" spans="1:15" ht="16.5" thickBot="1" x14ac:dyDescent="0.3">
      <c r="A138" s="22">
        <v>18</v>
      </c>
      <c r="B138" s="26" t="s">
        <v>1304</v>
      </c>
      <c r="C138" s="23" t="s">
        <v>1305</v>
      </c>
      <c r="D138" s="20">
        <v>126</v>
      </c>
      <c r="E138" s="19">
        <v>1</v>
      </c>
      <c r="F138" s="28">
        <v>1500</v>
      </c>
      <c r="G138" s="25">
        <f t="shared" si="85"/>
        <v>189000</v>
      </c>
      <c r="H138" s="544">
        <f t="shared" si="86"/>
        <v>320.42587820425877</v>
      </c>
      <c r="I138" s="518"/>
      <c r="J138" s="501"/>
      <c r="K138" s="501"/>
      <c r="L138" s="501"/>
      <c r="M138" s="501"/>
      <c r="N138" s="501"/>
      <c r="O138" s="565"/>
    </row>
    <row r="139" spans="1:15" ht="16.5" thickBot="1" x14ac:dyDescent="0.3">
      <c r="A139" s="22">
        <v>19</v>
      </c>
      <c r="B139" s="659" t="s">
        <v>265</v>
      </c>
      <c r="C139" s="660" t="s">
        <v>1306</v>
      </c>
      <c r="D139" s="33">
        <v>3</v>
      </c>
      <c r="E139" s="660">
        <v>11</v>
      </c>
      <c r="F139" s="703">
        <v>10000</v>
      </c>
      <c r="G139" s="661">
        <f t="shared" si="85"/>
        <v>330000</v>
      </c>
      <c r="H139" s="544">
        <f t="shared" si="86"/>
        <v>559.47375559473755</v>
      </c>
      <c r="I139" s="518"/>
      <c r="J139" s="501"/>
      <c r="K139" s="501"/>
      <c r="L139" s="501"/>
      <c r="M139" s="501"/>
      <c r="N139" s="501"/>
      <c r="O139" s="565"/>
    </row>
    <row r="140" spans="1:15" ht="18.75" thickBot="1" x14ac:dyDescent="0.3">
      <c r="A140" s="780" t="s">
        <v>525</v>
      </c>
      <c r="B140" s="781"/>
      <c r="C140" s="781"/>
      <c r="D140" s="781"/>
      <c r="E140" s="782"/>
      <c r="F140" s="348"/>
      <c r="G140" s="349">
        <f>SUM(G121:G139)</f>
        <v>3936000</v>
      </c>
      <c r="H140" s="545">
        <f>SUM(H121:H139)</f>
        <v>6672.9960667299601</v>
      </c>
      <c r="I140" s="553"/>
      <c r="J140" s="501"/>
      <c r="K140" s="501"/>
      <c r="L140" s="501"/>
      <c r="M140" s="501"/>
      <c r="N140" s="501"/>
      <c r="O140" s="565"/>
    </row>
    <row r="141" spans="1:15" ht="18.75" thickBot="1" x14ac:dyDescent="0.3">
      <c r="A141" s="205"/>
      <c r="B141" s="205" t="s">
        <v>400</v>
      </c>
      <c r="C141" s="225"/>
      <c r="D141" s="226"/>
      <c r="E141" s="226"/>
      <c r="F141" s="227"/>
      <c r="G141" s="227"/>
      <c r="H141" s="547"/>
      <c r="I141" s="530"/>
      <c r="J141" s="501"/>
      <c r="K141" s="501"/>
      <c r="L141" s="501"/>
      <c r="M141" s="501"/>
      <c r="N141" s="501"/>
      <c r="O141" s="565"/>
    </row>
    <row r="142" spans="1:15" ht="29.25" thickBot="1" x14ac:dyDescent="0.3">
      <c r="A142" s="188">
        <v>1</v>
      </c>
      <c r="B142" s="189" t="s">
        <v>588</v>
      </c>
      <c r="C142" s="225" t="s">
        <v>28</v>
      </c>
      <c r="D142" s="226">
        <v>1</v>
      </c>
      <c r="E142" s="226">
        <v>3</v>
      </c>
      <c r="F142" s="227">
        <v>5000</v>
      </c>
      <c r="G142" s="227">
        <f>D142*E142*F142</f>
        <v>15000</v>
      </c>
      <c r="H142" s="544">
        <f t="shared" ref="H142:H168" si="87">G142/589.84</f>
        <v>25.43062525430625</v>
      </c>
      <c r="I142" s="642">
        <f t="shared" ref="I142:I165" si="88">G142*0.03</f>
        <v>450</v>
      </c>
      <c r="J142" s="642">
        <f>450*D142</f>
        <v>450</v>
      </c>
      <c r="K142" s="642">
        <f t="shared" ref="K142:K165" si="89">G142/D142</f>
        <v>15000</v>
      </c>
      <c r="L142" s="501"/>
      <c r="M142" s="501"/>
      <c r="N142" s="501"/>
      <c r="O142" s="565"/>
    </row>
    <row r="143" spans="1:15" ht="29.25" thickBot="1" x14ac:dyDescent="0.3">
      <c r="A143" s="188">
        <v>2</v>
      </c>
      <c r="B143" s="189" t="s">
        <v>589</v>
      </c>
      <c r="C143" s="225" t="s">
        <v>28</v>
      </c>
      <c r="D143" s="226">
        <v>1</v>
      </c>
      <c r="E143" s="226">
        <v>3</v>
      </c>
      <c r="F143" s="227">
        <v>5000</v>
      </c>
      <c r="G143" s="227">
        <f t="shared" ref="G143:G168" si="90">D143*E143*F143</f>
        <v>15000</v>
      </c>
      <c r="H143" s="544">
        <f t="shared" si="87"/>
        <v>25.43062525430625</v>
      </c>
      <c r="I143" s="642">
        <f t="shared" si="88"/>
        <v>450</v>
      </c>
      <c r="J143" s="642">
        <f t="shared" ref="J143:J161" si="91">450*D143</f>
        <v>450</v>
      </c>
      <c r="K143" s="642">
        <f t="shared" si="89"/>
        <v>15000</v>
      </c>
      <c r="L143" s="501"/>
      <c r="M143" s="501"/>
      <c r="N143" s="501"/>
      <c r="O143" s="565"/>
    </row>
    <row r="144" spans="1:15" ht="29.25" thickBot="1" x14ac:dyDescent="0.3">
      <c r="A144" s="188">
        <v>3</v>
      </c>
      <c r="B144" s="189" t="s">
        <v>590</v>
      </c>
      <c r="C144" s="225" t="s">
        <v>28</v>
      </c>
      <c r="D144" s="226">
        <v>1</v>
      </c>
      <c r="E144" s="226">
        <v>3</v>
      </c>
      <c r="F144" s="227">
        <v>5000</v>
      </c>
      <c r="G144" s="227">
        <f t="shared" si="90"/>
        <v>15000</v>
      </c>
      <c r="H144" s="544">
        <f t="shared" si="87"/>
        <v>25.43062525430625</v>
      </c>
      <c r="I144" s="642">
        <f t="shared" si="88"/>
        <v>450</v>
      </c>
      <c r="J144" s="642">
        <f t="shared" si="91"/>
        <v>450</v>
      </c>
      <c r="K144" s="642">
        <f t="shared" si="89"/>
        <v>15000</v>
      </c>
      <c r="L144" s="501"/>
      <c r="M144" s="501"/>
      <c r="N144" s="501"/>
      <c r="O144" s="565"/>
    </row>
    <row r="145" spans="1:15" ht="21.75" customHeight="1" thickBot="1" x14ac:dyDescent="0.3">
      <c r="A145" s="188">
        <v>4</v>
      </c>
      <c r="B145" s="189" t="s">
        <v>591</v>
      </c>
      <c r="C145" s="225" t="s">
        <v>28</v>
      </c>
      <c r="D145" s="226">
        <v>1</v>
      </c>
      <c r="E145" s="226">
        <v>3</v>
      </c>
      <c r="F145" s="227">
        <v>5000</v>
      </c>
      <c r="G145" s="227">
        <f t="shared" si="90"/>
        <v>15000</v>
      </c>
      <c r="H145" s="544">
        <f t="shared" si="87"/>
        <v>25.43062525430625</v>
      </c>
      <c r="I145" s="642">
        <f t="shared" si="88"/>
        <v>450</v>
      </c>
      <c r="J145" s="642">
        <f t="shared" si="91"/>
        <v>450</v>
      </c>
      <c r="K145" s="642">
        <f t="shared" si="89"/>
        <v>15000</v>
      </c>
      <c r="L145" s="501"/>
      <c r="M145" s="501"/>
      <c r="N145" s="501"/>
      <c r="O145" s="565"/>
    </row>
    <row r="146" spans="1:15" ht="21.75" customHeight="1" thickBot="1" x14ac:dyDescent="0.3">
      <c r="A146" s="188">
        <v>5</v>
      </c>
      <c r="B146" s="189" t="s">
        <v>592</v>
      </c>
      <c r="C146" s="225" t="s">
        <v>28</v>
      </c>
      <c r="D146" s="226">
        <v>1</v>
      </c>
      <c r="E146" s="226">
        <v>3</v>
      </c>
      <c r="F146" s="227">
        <v>5000</v>
      </c>
      <c r="G146" s="227">
        <f t="shared" si="90"/>
        <v>15000</v>
      </c>
      <c r="H146" s="544">
        <f t="shared" si="87"/>
        <v>25.43062525430625</v>
      </c>
      <c r="I146" s="642">
        <f t="shared" si="88"/>
        <v>450</v>
      </c>
      <c r="J146" s="642">
        <f t="shared" si="91"/>
        <v>450</v>
      </c>
      <c r="K146" s="642">
        <f t="shared" si="89"/>
        <v>15000</v>
      </c>
      <c r="L146" s="501"/>
      <c r="M146" s="501"/>
      <c r="N146" s="501"/>
      <c r="O146" s="565"/>
    </row>
    <row r="147" spans="1:15" ht="21.75" customHeight="1" thickBot="1" x14ac:dyDescent="0.3">
      <c r="A147" s="188">
        <v>6</v>
      </c>
      <c r="B147" s="189" t="s">
        <v>593</v>
      </c>
      <c r="C147" s="225" t="s">
        <v>28</v>
      </c>
      <c r="D147" s="226">
        <v>1</v>
      </c>
      <c r="E147" s="226">
        <v>3</v>
      </c>
      <c r="F147" s="227">
        <v>5000</v>
      </c>
      <c r="G147" s="227">
        <f t="shared" si="90"/>
        <v>15000</v>
      </c>
      <c r="H147" s="544">
        <f t="shared" si="87"/>
        <v>25.43062525430625</v>
      </c>
      <c r="I147" s="642">
        <f t="shared" si="88"/>
        <v>450</v>
      </c>
      <c r="J147" s="642">
        <f t="shared" si="91"/>
        <v>450</v>
      </c>
      <c r="K147" s="642">
        <f t="shared" si="89"/>
        <v>15000</v>
      </c>
      <c r="L147" s="501"/>
      <c r="M147" s="501"/>
      <c r="N147" s="501"/>
      <c r="O147" s="565"/>
    </row>
    <row r="148" spans="1:15" ht="21.75" customHeight="1" thickBot="1" x14ac:dyDescent="0.3">
      <c r="A148" s="188">
        <v>7</v>
      </c>
      <c r="B148" s="189" t="s">
        <v>594</v>
      </c>
      <c r="C148" s="225" t="s">
        <v>28</v>
      </c>
      <c r="D148" s="226">
        <v>1</v>
      </c>
      <c r="E148" s="226">
        <v>3</v>
      </c>
      <c r="F148" s="227">
        <v>5000</v>
      </c>
      <c r="G148" s="227">
        <f t="shared" si="90"/>
        <v>15000</v>
      </c>
      <c r="H148" s="544">
        <f t="shared" si="87"/>
        <v>25.43062525430625</v>
      </c>
      <c r="I148" s="642">
        <f t="shared" si="88"/>
        <v>450</v>
      </c>
      <c r="J148" s="642">
        <f t="shared" si="91"/>
        <v>450</v>
      </c>
      <c r="K148" s="642">
        <f t="shared" si="89"/>
        <v>15000</v>
      </c>
      <c r="L148" s="501"/>
      <c r="M148" s="501"/>
      <c r="N148" s="501"/>
      <c r="O148" s="565"/>
    </row>
    <row r="149" spans="1:15" ht="21.75" customHeight="1" thickBot="1" x14ac:dyDescent="0.3">
      <c r="A149" s="188">
        <v>8</v>
      </c>
      <c r="B149" s="189" t="s">
        <v>595</v>
      </c>
      <c r="C149" s="225" t="s">
        <v>28</v>
      </c>
      <c r="D149" s="226">
        <v>1</v>
      </c>
      <c r="E149" s="226">
        <v>3</v>
      </c>
      <c r="F149" s="227">
        <v>5000</v>
      </c>
      <c r="G149" s="227">
        <f t="shared" si="90"/>
        <v>15000</v>
      </c>
      <c r="H149" s="544">
        <f t="shared" si="87"/>
        <v>25.43062525430625</v>
      </c>
      <c r="I149" s="642">
        <f t="shared" si="88"/>
        <v>450</v>
      </c>
      <c r="J149" s="642">
        <f t="shared" si="91"/>
        <v>450</v>
      </c>
      <c r="K149" s="642">
        <f t="shared" si="89"/>
        <v>15000</v>
      </c>
      <c r="L149" s="501"/>
      <c r="M149" s="501"/>
      <c r="N149" s="501"/>
      <c r="O149" s="565"/>
    </row>
    <row r="150" spans="1:15" ht="17.25" customHeight="1" thickBot="1" x14ac:dyDescent="0.3">
      <c r="A150" s="188">
        <v>9</v>
      </c>
      <c r="B150" s="189" t="s">
        <v>596</v>
      </c>
      <c r="C150" s="225" t="s">
        <v>28</v>
      </c>
      <c r="D150" s="226">
        <v>1</v>
      </c>
      <c r="E150" s="226">
        <v>3</v>
      </c>
      <c r="F150" s="227">
        <v>5000</v>
      </c>
      <c r="G150" s="227">
        <f t="shared" si="90"/>
        <v>15000</v>
      </c>
      <c r="H150" s="544">
        <f t="shared" si="87"/>
        <v>25.43062525430625</v>
      </c>
      <c r="I150" s="642">
        <f t="shared" si="88"/>
        <v>450</v>
      </c>
      <c r="J150" s="642">
        <f t="shared" si="91"/>
        <v>450</v>
      </c>
      <c r="K150" s="642">
        <f t="shared" si="89"/>
        <v>15000</v>
      </c>
      <c r="L150" s="501"/>
      <c r="M150" s="501"/>
      <c r="N150" s="501"/>
      <c r="O150" s="565"/>
    </row>
    <row r="151" spans="1:15" ht="17.25" customHeight="1" thickBot="1" x14ac:dyDescent="0.3">
      <c r="A151" s="188">
        <v>10</v>
      </c>
      <c r="B151" s="189" t="s">
        <v>597</v>
      </c>
      <c r="C151" s="225" t="s">
        <v>28</v>
      </c>
      <c r="D151" s="226">
        <v>1</v>
      </c>
      <c r="E151" s="226">
        <v>3</v>
      </c>
      <c r="F151" s="227">
        <v>5000</v>
      </c>
      <c r="G151" s="227">
        <f t="shared" si="90"/>
        <v>15000</v>
      </c>
      <c r="H151" s="544">
        <f t="shared" si="87"/>
        <v>25.43062525430625</v>
      </c>
      <c r="I151" s="642">
        <f t="shared" si="88"/>
        <v>450</v>
      </c>
      <c r="J151" s="642">
        <f t="shared" si="91"/>
        <v>450</v>
      </c>
      <c r="K151" s="642">
        <f t="shared" si="89"/>
        <v>15000</v>
      </c>
      <c r="L151" s="501"/>
      <c r="M151" s="501"/>
      <c r="N151" s="501"/>
      <c r="O151" s="565"/>
    </row>
    <row r="152" spans="1:15" ht="17.25" customHeight="1" thickBot="1" x14ac:dyDescent="0.3">
      <c r="A152" s="188">
        <v>11</v>
      </c>
      <c r="B152" s="189" t="s">
        <v>598</v>
      </c>
      <c r="C152" s="225" t="s">
        <v>28</v>
      </c>
      <c r="D152" s="226">
        <v>1</v>
      </c>
      <c r="E152" s="226">
        <v>3</v>
      </c>
      <c r="F152" s="227">
        <v>5000</v>
      </c>
      <c r="G152" s="227">
        <f t="shared" si="90"/>
        <v>15000</v>
      </c>
      <c r="H152" s="544">
        <f t="shared" si="87"/>
        <v>25.43062525430625</v>
      </c>
      <c r="I152" s="642">
        <f t="shared" si="88"/>
        <v>450</v>
      </c>
      <c r="J152" s="642">
        <f t="shared" si="91"/>
        <v>450</v>
      </c>
      <c r="K152" s="642">
        <f t="shared" si="89"/>
        <v>15000</v>
      </c>
      <c r="L152" s="501"/>
      <c r="M152" s="501"/>
      <c r="N152" s="501"/>
      <c r="O152" s="565"/>
    </row>
    <row r="153" spans="1:15" ht="17.25" customHeight="1" thickBot="1" x14ac:dyDescent="0.3">
      <c r="A153" s="188">
        <v>12</v>
      </c>
      <c r="B153" s="189" t="s">
        <v>599</v>
      </c>
      <c r="C153" s="225" t="s">
        <v>28</v>
      </c>
      <c r="D153" s="226">
        <v>1</v>
      </c>
      <c r="E153" s="226">
        <v>3</v>
      </c>
      <c r="F153" s="227">
        <v>5000</v>
      </c>
      <c r="G153" s="227">
        <f t="shared" si="90"/>
        <v>15000</v>
      </c>
      <c r="H153" s="544">
        <f t="shared" si="87"/>
        <v>25.43062525430625</v>
      </c>
      <c r="I153" s="642">
        <f t="shared" si="88"/>
        <v>450</v>
      </c>
      <c r="J153" s="642">
        <f t="shared" si="91"/>
        <v>450</v>
      </c>
      <c r="K153" s="642">
        <f t="shared" si="89"/>
        <v>15000</v>
      </c>
      <c r="L153" s="501"/>
      <c r="M153" s="501"/>
      <c r="N153" s="501"/>
      <c r="O153" s="565"/>
    </row>
    <row r="154" spans="1:15" ht="16.149999999999999" customHeight="1" thickBot="1" x14ac:dyDescent="0.3">
      <c r="A154" s="188">
        <v>13</v>
      </c>
      <c r="B154" s="189" t="s">
        <v>600</v>
      </c>
      <c r="C154" s="225" t="s">
        <v>28</v>
      </c>
      <c r="D154" s="226">
        <v>1</v>
      </c>
      <c r="E154" s="226">
        <v>3</v>
      </c>
      <c r="F154" s="227">
        <v>5000</v>
      </c>
      <c r="G154" s="227">
        <f t="shared" si="90"/>
        <v>15000</v>
      </c>
      <c r="H154" s="544">
        <f t="shared" si="87"/>
        <v>25.43062525430625</v>
      </c>
      <c r="I154" s="642">
        <f t="shared" si="88"/>
        <v>450</v>
      </c>
      <c r="J154" s="642">
        <f t="shared" si="91"/>
        <v>450</v>
      </c>
      <c r="K154" s="642">
        <f t="shared" si="89"/>
        <v>15000</v>
      </c>
      <c r="L154" s="501"/>
      <c r="M154" s="501"/>
      <c r="N154" s="501"/>
      <c r="O154" s="565"/>
    </row>
    <row r="155" spans="1:15" ht="16.149999999999999" customHeight="1" thickBot="1" x14ac:dyDescent="0.3">
      <c r="A155" s="188">
        <v>14</v>
      </c>
      <c r="B155" s="189" t="s">
        <v>601</v>
      </c>
      <c r="C155" s="225" t="s">
        <v>28</v>
      </c>
      <c r="D155" s="226">
        <v>1</v>
      </c>
      <c r="E155" s="226">
        <v>3</v>
      </c>
      <c r="F155" s="227">
        <v>5000</v>
      </c>
      <c r="G155" s="227">
        <f t="shared" si="90"/>
        <v>15000</v>
      </c>
      <c r="H155" s="544">
        <f t="shared" si="87"/>
        <v>25.43062525430625</v>
      </c>
      <c r="I155" s="642">
        <f t="shared" si="88"/>
        <v>450</v>
      </c>
      <c r="J155" s="642">
        <f t="shared" si="91"/>
        <v>450</v>
      </c>
      <c r="K155" s="642">
        <f t="shared" si="89"/>
        <v>15000</v>
      </c>
      <c r="L155" s="501"/>
      <c r="M155" s="501"/>
      <c r="N155" s="501"/>
      <c r="O155" s="565"/>
    </row>
    <row r="156" spans="1:15" ht="16.5" thickBot="1" x14ac:dyDescent="0.3">
      <c r="A156" s="188">
        <v>15</v>
      </c>
      <c r="B156" s="189" t="s">
        <v>318</v>
      </c>
      <c r="C156" s="225" t="s">
        <v>28</v>
      </c>
      <c r="D156" s="226">
        <v>5</v>
      </c>
      <c r="E156" s="226">
        <v>3</v>
      </c>
      <c r="F156" s="227">
        <v>5000</v>
      </c>
      <c r="G156" s="227">
        <f t="shared" si="90"/>
        <v>75000</v>
      </c>
      <c r="H156" s="544">
        <f t="shared" si="87"/>
        <v>127.15312627153125</v>
      </c>
      <c r="I156" s="642">
        <f t="shared" si="88"/>
        <v>2250</v>
      </c>
      <c r="J156" s="642">
        <f t="shared" si="91"/>
        <v>2250</v>
      </c>
      <c r="K156" s="642">
        <f t="shared" si="89"/>
        <v>15000</v>
      </c>
      <c r="L156" s="501"/>
      <c r="M156" s="501"/>
      <c r="N156" s="501"/>
      <c r="O156" s="565"/>
    </row>
    <row r="157" spans="1:15" ht="16.5" thickBot="1" x14ac:dyDescent="0.3">
      <c r="A157" s="188">
        <v>16</v>
      </c>
      <c r="B157" s="189" t="s">
        <v>319</v>
      </c>
      <c r="C157" s="225" t="s">
        <v>28</v>
      </c>
      <c r="D157" s="226">
        <v>2</v>
      </c>
      <c r="E157" s="226">
        <v>3</v>
      </c>
      <c r="F157" s="227">
        <v>5000</v>
      </c>
      <c r="G157" s="227">
        <f t="shared" si="90"/>
        <v>30000</v>
      </c>
      <c r="H157" s="544">
        <f t="shared" si="87"/>
        <v>50.8612505086125</v>
      </c>
      <c r="I157" s="642">
        <f t="shared" si="88"/>
        <v>900</v>
      </c>
      <c r="J157" s="642">
        <f t="shared" si="91"/>
        <v>900</v>
      </c>
      <c r="K157" s="642">
        <f t="shared" si="89"/>
        <v>15000</v>
      </c>
      <c r="L157" s="501"/>
      <c r="M157" s="501"/>
      <c r="N157" s="501"/>
      <c r="O157" s="565"/>
    </row>
    <row r="158" spans="1:15" ht="16.5" thickBot="1" x14ac:dyDescent="0.3">
      <c r="A158" s="188">
        <v>17</v>
      </c>
      <c r="B158" s="189" t="s">
        <v>1471</v>
      </c>
      <c r="C158" s="225" t="s">
        <v>28</v>
      </c>
      <c r="D158" s="226">
        <v>1</v>
      </c>
      <c r="E158" s="226">
        <v>3</v>
      </c>
      <c r="F158" s="227">
        <v>5000</v>
      </c>
      <c r="G158" s="227">
        <f t="shared" si="90"/>
        <v>15000</v>
      </c>
      <c r="H158" s="544">
        <f t="shared" si="87"/>
        <v>25.43062525430625</v>
      </c>
      <c r="I158" s="642">
        <f t="shared" si="88"/>
        <v>450</v>
      </c>
      <c r="J158" s="642">
        <f t="shared" si="91"/>
        <v>450</v>
      </c>
      <c r="K158" s="642">
        <f t="shared" si="89"/>
        <v>15000</v>
      </c>
      <c r="L158" s="501"/>
      <c r="M158" s="501"/>
      <c r="N158" s="501"/>
      <c r="O158" s="565"/>
    </row>
    <row r="159" spans="1:15" ht="16.5" thickBot="1" x14ac:dyDescent="0.3">
      <c r="A159" s="188">
        <v>18</v>
      </c>
      <c r="B159" s="189" t="s">
        <v>1472</v>
      </c>
      <c r="C159" s="225" t="s">
        <v>28</v>
      </c>
      <c r="D159" s="226">
        <v>1</v>
      </c>
      <c r="E159" s="226">
        <v>3</v>
      </c>
      <c r="F159" s="227">
        <v>5000</v>
      </c>
      <c r="G159" s="227">
        <f t="shared" si="90"/>
        <v>15000</v>
      </c>
      <c r="H159" s="544">
        <f t="shared" si="87"/>
        <v>25.43062525430625</v>
      </c>
      <c r="I159" s="642">
        <f t="shared" si="88"/>
        <v>450</v>
      </c>
      <c r="J159" s="642">
        <f t="shared" si="91"/>
        <v>450</v>
      </c>
      <c r="K159" s="642">
        <f t="shared" si="89"/>
        <v>15000</v>
      </c>
      <c r="L159" s="501"/>
      <c r="M159" s="501"/>
      <c r="N159" s="501"/>
      <c r="O159" s="565"/>
    </row>
    <row r="160" spans="1:15" ht="16.5" thickBot="1" x14ac:dyDescent="0.3">
      <c r="A160" s="188">
        <v>19</v>
      </c>
      <c r="B160" s="189" t="s">
        <v>320</v>
      </c>
      <c r="C160" s="225" t="s">
        <v>28</v>
      </c>
      <c r="D160" s="226">
        <v>1</v>
      </c>
      <c r="E160" s="226">
        <v>3</v>
      </c>
      <c r="F160" s="227">
        <v>5000</v>
      </c>
      <c r="G160" s="227">
        <f t="shared" si="90"/>
        <v>15000</v>
      </c>
      <c r="H160" s="544">
        <f t="shared" si="87"/>
        <v>25.43062525430625</v>
      </c>
      <c r="I160" s="642">
        <f t="shared" si="88"/>
        <v>450</v>
      </c>
      <c r="J160" s="642">
        <f t="shared" si="91"/>
        <v>450</v>
      </c>
      <c r="K160" s="642">
        <f t="shared" si="89"/>
        <v>15000</v>
      </c>
      <c r="L160" s="501"/>
      <c r="M160" s="501"/>
      <c r="N160" s="501"/>
      <c r="O160" s="565"/>
    </row>
    <row r="161" spans="1:15" ht="16.5" thickBot="1" x14ac:dyDescent="0.3">
      <c r="A161" s="188">
        <v>20</v>
      </c>
      <c r="B161" s="189" t="s">
        <v>321</v>
      </c>
      <c r="C161" s="225" t="s">
        <v>28</v>
      </c>
      <c r="D161" s="226">
        <v>1</v>
      </c>
      <c r="E161" s="226">
        <v>3</v>
      </c>
      <c r="F161" s="227">
        <v>5000</v>
      </c>
      <c r="G161" s="227">
        <f t="shared" si="90"/>
        <v>15000</v>
      </c>
      <c r="H161" s="544">
        <f t="shared" si="87"/>
        <v>25.43062525430625</v>
      </c>
      <c r="I161" s="642">
        <f t="shared" si="88"/>
        <v>450</v>
      </c>
      <c r="J161" s="642">
        <f t="shared" si="91"/>
        <v>450</v>
      </c>
      <c r="K161" s="642">
        <f t="shared" si="89"/>
        <v>15000</v>
      </c>
      <c r="L161" s="501"/>
      <c r="M161" s="501"/>
      <c r="N161" s="501"/>
      <c r="O161" s="565"/>
    </row>
    <row r="162" spans="1:15" ht="16.5" thickBot="1" x14ac:dyDescent="0.3">
      <c r="A162" s="188">
        <v>21</v>
      </c>
      <c r="B162" s="189" t="s">
        <v>1361</v>
      </c>
      <c r="C162" s="225" t="s">
        <v>28</v>
      </c>
      <c r="D162" s="226">
        <v>3</v>
      </c>
      <c r="E162" s="226">
        <v>3</v>
      </c>
      <c r="F162" s="227">
        <v>12500</v>
      </c>
      <c r="G162" s="227">
        <f t="shared" si="90"/>
        <v>112500</v>
      </c>
      <c r="H162" s="544">
        <f t="shared" si="87"/>
        <v>190.72968940729689</v>
      </c>
      <c r="I162" s="642">
        <f t="shared" si="88"/>
        <v>3375</v>
      </c>
      <c r="J162" s="642">
        <f>1050*D162</f>
        <v>3150</v>
      </c>
      <c r="K162" s="642">
        <f t="shared" si="89"/>
        <v>37500</v>
      </c>
      <c r="L162" s="501"/>
      <c r="M162" s="501"/>
      <c r="N162" s="501"/>
      <c r="O162" s="565"/>
    </row>
    <row r="163" spans="1:15" ht="16.5" thickBot="1" x14ac:dyDescent="0.3">
      <c r="A163" s="188">
        <v>22</v>
      </c>
      <c r="B163" s="189" t="s">
        <v>586</v>
      </c>
      <c r="C163" s="225" t="s">
        <v>28</v>
      </c>
      <c r="D163" s="226">
        <v>3</v>
      </c>
      <c r="E163" s="226">
        <v>3</v>
      </c>
      <c r="F163" s="227">
        <v>25000</v>
      </c>
      <c r="G163" s="227">
        <f t="shared" si="90"/>
        <v>225000</v>
      </c>
      <c r="H163" s="544">
        <f t="shared" si="87"/>
        <v>381.45937881459378</v>
      </c>
      <c r="I163" s="642">
        <f t="shared" si="88"/>
        <v>6750</v>
      </c>
      <c r="J163" s="642">
        <f>1600*D163</f>
        <v>4800</v>
      </c>
      <c r="K163" s="642">
        <f t="shared" si="89"/>
        <v>75000</v>
      </c>
      <c r="L163" s="501"/>
      <c r="M163" s="501"/>
      <c r="N163" s="501"/>
      <c r="O163" s="565"/>
    </row>
    <row r="164" spans="1:15" ht="18.75" thickBot="1" x14ac:dyDescent="0.3">
      <c r="A164" s="188">
        <v>23</v>
      </c>
      <c r="B164" s="26" t="s">
        <v>271</v>
      </c>
      <c r="C164" s="23" t="s">
        <v>28</v>
      </c>
      <c r="D164" s="24">
        <v>2</v>
      </c>
      <c r="E164" s="226">
        <v>3</v>
      </c>
      <c r="F164" s="25">
        <v>0</v>
      </c>
      <c r="G164" s="227">
        <f t="shared" si="90"/>
        <v>0</v>
      </c>
      <c r="H164" s="548">
        <f t="shared" si="87"/>
        <v>0</v>
      </c>
      <c r="I164" s="642">
        <f t="shared" si="88"/>
        <v>0</v>
      </c>
      <c r="J164" s="642">
        <v>0</v>
      </c>
      <c r="K164" s="642">
        <f t="shared" si="89"/>
        <v>0</v>
      </c>
      <c r="L164" s="501"/>
      <c r="M164" s="501"/>
      <c r="N164" s="501"/>
      <c r="O164" s="565"/>
    </row>
    <row r="165" spans="1:15" ht="16.5" thickBot="1" x14ac:dyDescent="0.3">
      <c r="A165" s="188">
        <v>24</v>
      </c>
      <c r="B165" s="189" t="s">
        <v>35</v>
      </c>
      <c r="C165" s="225" t="s">
        <v>28</v>
      </c>
      <c r="D165" s="226">
        <v>1</v>
      </c>
      <c r="E165" s="226">
        <v>3</v>
      </c>
      <c r="F165" s="227">
        <v>3000</v>
      </c>
      <c r="G165" s="227">
        <f t="shared" si="90"/>
        <v>9000</v>
      </c>
      <c r="H165" s="544">
        <f t="shared" si="87"/>
        <v>15.258375152583751</v>
      </c>
      <c r="I165" s="642">
        <f t="shared" si="88"/>
        <v>270</v>
      </c>
      <c r="J165" s="642">
        <f>350*D165</f>
        <v>350</v>
      </c>
      <c r="K165" s="642">
        <f t="shared" si="89"/>
        <v>9000</v>
      </c>
      <c r="L165" s="501"/>
      <c r="M165" s="501"/>
      <c r="N165" s="501"/>
      <c r="O165" s="565"/>
    </row>
    <row r="166" spans="1:15" ht="16.5" thickBot="1" x14ac:dyDescent="0.3">
      <c r="A166" s="188">
        <v>25</v>
      </c>
      <c r="B166" s="189" t="s">
        <v>36</v>
      </c>
      <c r="C166" s="225" t="s">
        <v>28</v>
      </c>
      <c r="D166" s="226">
        <f>SUM(D142:D165)</f>
        <v>34</v>
      </c>
      <c r="E166" s="226">
        <v>3</v>
      </c>
      <c r="F166" s="227">
        <v>6500</v>
      </c>
      <c r="G166" s="227">
        <f t="shared" si="90"/>
        <v>663000</v>
      </c>
      <c r="H166" s="544">
        <f t="shared" si="87"/>
        <v>1124.0336362403364</v>
      </c>
      <c r="I166" s="642">
        <v>0</v>
      </c>
      <c r="J166" s="642">
        <v>0</v>
      </c>
      <c r="K166" s="642">
        <v>0</v>
      </c>
      <c r="L166" s="501"/>
      <c r="M166" s="501"/>
      <c r="N166" s="501"/>
      <c r="O166" s="565"/>
    </row>
    <row r="167" spans="1:15" ht="16.5" thickBot="1" x14ac:dyDescent="0.3">
      <c r="A167" s="188">
        <v>26</v>
      </c>
      <c r="B167" s="189" t="s">
        <v>587</v>
      </c>
      <c r="C167" s="225" t="s">
        <v>28</v>
      </c>
      <c r="D167" s="226">
        <v>10</v>
      </c>
      <c r="E167" s="226">
        <v>3</v>
      </c>
      <c r="F167" s="227">
        <v>800</v>
      </c>
      <c r="G167" s="227">
        <f t="shared" si="90"/>
        <v>24000</v>
      </c>
      <c r="H167" s="544">
        <f t="shared" si="87"/>
        <v>40.689000406890003</v>
      </c>
      <c r="I167" s="642">
        <v>0</v>
      </c>
      <c r="J167" s="642">
        <v>0</v>
      </c>
      <c r="K167" s="642">
        <v>0</v>
      </c>
      <c r="L167" s="501"/>
      <c r="M167" s="501"/>
      <c r="N167" s="501"/>
      <c r="O167" s="565"/>
    </row>
    <row r="168" spans="1:15" ht="16.5" thickBot="1" x14ac:dyDescent="0.3">
      <c r="A168" s="188">
        <v>27</v>
      </c>
      <c r="B168" s="189" t="s">
        <v>432</v>
      </c>
      <c r="C168" s="225" t="s">
        <v>90</v>
      </c>
      <c r="D168" s="226">
        <v>50</v>
      </c>
      <c r="E168" s="230">
        <v>1</v>
      </c>
      <c r="F168" s="227">
        <v>800</v>
      </c>
      <c r="G168" s="227">
        <f t="shared" si="90"/>
        <v>40000</v>
      </c>
      <c r="H168" s="544">
        <f t="shared" si="87"/>
        <v>67.81500067815</v>
      </c>
      <c r="I168" s="642">
        <v>0</v>
      </c>
      <c r="J168" s="642">
        <v>0</v>
      </c>
      <c r="K168" s="642">
        <v>0</v>
      </c>
      <c r="L168" s="501"/>
      <c r="M168" s="501"/>
      <c r="N168" s="501"/>
      <c r="O168" s="565"/>
    </row>
    <row r="169" spans="1:15" ht="18.75" thickBot="1" x14ac:dyDescent="0.3">
      <c r="A169" s="341" t="s">
        <v>1310</v>
      </c>
      <c r="B169" s="342"/>
      <c r="C169" s="343"/>
      <c r="D169" s="343"/>
      <c r="E169" s="343"/>
      <c r="F169" s="344"/>
      <c r="G169" s="344">
        <f>SUM(G142:G168)</f>
        <v>1448500</v>
      </c>
      <c r="H169" s="516">
        <f>SUM(H142:H168)</f>
        <v>2455.7507120575074</v>
      </c>
      <c r="I169" s="263">
        <f>SUM(I142:I168)</f>
        <v>21645</v>
      </c>
      <c r="J169" s="263">
        <f>SUM(J142:J168)</f>
        <v>19550</v>
      </c>
      <c r="K169" s="501"/>
      <c r="L169" s="501"/>
      <c r="M169" s="501"/>
      <c r="N169" s="501"/>
      <c r="O169" s="565"/>
    </row>
    <row r="170" spans="1:15" ht="18.75" thickBot="1" x14ac:dyDescent="0.3">
      <c r="A170" s="205"/>
      <c r="B170" s="205" t="s">
        <v>401</v>
      </c>
      <c r="C170" s="225"/>
      <c r="D170" s="226"/>
      <c r="E170" s="226"/>
      <c r="F170" s="227"/>
      <c r="G170" s="227"/>
      <c r="H170" s="549"/>
      <c r="I170" s="549"/>
      <c r="J170" s="549"/>
      <c r="K170" s="549"/>
      <c r="L170" s="501"/>
      <c r="M170" s="501"/>
      <c r="N170" s="501"/>
      <c r="O170" s="565"/>
    </row>
    <row r="171" spans="1:15" ht="16.5" thickBot="1" x14ac:dyDescent="0.3">
      <c r="A171" s="188">
        <v>1</v>
      </c>
      <c r="B171" s="189" t="s">
        <v>528</v>
      </c>
      <c r="C171" s="225" t="s">
        <v>28</v>
      </c>
      <c r="D171" s="226">
        <v>6</v>
      </c>
      <c r="E171" s="225">
        <v>3</v>
      </c>
      <c r="F171" s="227">
        <v>3000</v>
      </c>
      <c r="G171" s="227">
        <f t="shared" ref="G171:G187" si="92">D171*E171*F171</f>
        <v>54000</v>
      </c>
      <c r="H171" s="544">
        <f t="shared" ref="H171:H187" si="93">G171/589.84</f>
        <v>91.550250915502502</v>
      </c>
      <c r="I171" s="642">
        <f t="shared" ref="I171:I187" si="94">G171*0.03</f>
        <v>1620</v>
      </c>
      <c r="J171" s="642">
        <f>350*D171</f>
        <v>2100</v>
      </c>
      <c r="K171" s="642">
        <f t="shared" ref="K171:K187" si="95">G171/D171</f>
        <v>9000</v>
      </c>
      <c r="L171" s="501"/>
      <c r="M171" s="501"/>
      <c r="N171" s="501"/>
      <c r="O171" s="565"/>
    </row>
    <row r="172" spans="1:15" ht="16.5" thickBot="1" x14ac:dyDescent="0.3">
      <c r="A172" s="188">
        <v>2</v>
      </c>
      <c r="B172" s="189" t="s">
        <v>532</v>
      </c>
      <c r="C172" s="225" t="s">
        <v>28</v>
      </c>
      <c r="D172" s="226">
        <v>20</v>
      </c>
      <c r="E172" s="225">
        <v>3</v>
      </c>
      <c r="F172" s="227">
        <v>3000</v>
      </c>
      <c r="G172" s="227">
        <f t="shared" si="92"/>
        <v>180000</v>
      </c>
      <c r="H172" s="544">
        <f t="shared" si="93"/>
        <v>305.167503051675</v>
      </c>
      <c r="I172" s="642">
        <f t="shared" si="94"/>
        <v>5400</v>
      </c>
      <c r="J172" s="642">
        <f t="shared" ref="J172:J187" si="96">350*D172</f>
        <v>7000</v>
      </c>
      <c r="K172" s="642">
        <f t="shared" si="95"/>
        <v>9000</v>
      </c>
      <c r="L172" s="501"/>
      <c r="M172" s="501"/>
      <c r="N172" s="501"/>
      <c r="O172" s="565"/>
    </row>
    <row r="173" spans="1:15" ht="16.5" thickBot="1" x14ac:dyDescent="0.3">
      <c r="A173" s="188">
        <v>3</v>
      </c>
      <c r="B173" s="189" t="s">
        <v>536</v>
      </c>
      <c r="C173" s="225" t="s">
        <v>28</v>
      </c>
      <c r="D173" s="226">
        <v>40</v>
      </c>
      <c r="E173" s="225">
        <v>3</v>
      </c>
      <c r="F173" s="227">
        <v>3000</v>
      </c>
      <c r="G173" s="227">
        <f t="shared" si="92"/>
        <v>360000</v>
      </c>
      <c r="H173" s="544">
        <f t="shared" si="93"/>
        <v>610.33500610335</v>
      </c>
      <c r="I173" s="642">
        <f t="shared" si="94"/>
        <v>10800</v>
      </c>
      <c r="J173" s="642">
        <f t="shared" si="96"/>
        <v>14000</v>
      </c>
      <c r="K173" s="642">
        <f t="shared" si="95"/>
        <v>9000</v>
      </c>
      <c r="L173" s="501"/>
      <c r="M173" s="501"/>
      <c r="N173" s="501"/>
      <c r="O173" s="565"/>
    </row>
    <row r="174" spans="1:15" ht="16.5" thickBot="1" x14ac:dyDescent="0.3">
      <c r="A174" s="188">
        <v>4</v>
      </c>
      <c r="B174" s="189" t="s">
        <v>540</v>
      </c>
      <c r="C174" s="225" t="s">
        <v>28</v>
      </c>
      <c r="D174" s="226">
        <v>28</v>
      </c>
      <c r="E174" s="225">
        <v>3</v>
      </c>
      <c r="F174" s="227">
        <v>3000</v>
      </c>
      <c r="G174" s="227">
        <f t="shared" si="92"/>
        <v>252000</v>
      </c>
      <c r="H174" s="544">
        <f t="shared" si="93"/>
        <v>427.23450427234502</v>
      </c>
      <c r="I174" s="642">
        <f t="shared" si="94"/>
        <v>7560</v>
      </c>
      <c r="J174" s="642">
        <f t="shared" si="96"/>
        <v>9800</v>
      </c>
      <c r="K174" s="642">
        <f t="shared" si="95"/>
        <v>9000</v>
      </c>
      <c r="L174" s="501"/>
      <c r="M174" s="501"/>
      <c r="N174" s="501"/>
      <c r="O174" s="565"/>
    </row>
    <row r="175" spans="1:15" ht="16.5" thickBot="1" x14ac:dyDescent="0.3">
      <c r="A175" s="188">
        <v>5</v>
      </c>
      <c r="B175" s="189" t="s">
        <v>544</v>
      </c>
      <c r="C175" s="225" t="s">
        <v>28</v>
      </c>
      <c r="D175" s="226">
        <v>8</v>
      </c>
      <c r="E175" s="225">
        <v>3</v>
      </c>
      <c r="F175" s="227">
        <v>3000</v>
      </c>
      <c r="G175" s="227">
        <f t="shared" si="92"/>
        <v>72000</v>
      </c>
      <c r="H175" s="544">
        <f t="shared" si="93"/>
        <v>122.06700122067001</v>
      </c>
      <c r="I175" s="642">
        <f t="shared" si="94"/>
        <v>2160</v>
      </c>
      <c r="J175" s="642">
        <f t="shared" si="96"/>
        <v>2800</v>
      </c>
      <c r="K175" s="642">
        <f t="shared" si="95"/>
        <v>9000</v>
      </c>
      <c r="L175" s="501"/>
      <c r="M175" s="501"/>
      <c r="N175" s="501"/>
      <c r="O175" s="565"/>
    </row>
    <row r="176" spans="1:15" ht="16.5" thickBot="1" x14ac:dyDescent="0.3">
      <c r="A176" s="188">
        <v>6</v>
      </c>
      <c r="B176" s="189" t="s">
        <v>548</v>
      </c>
      <c r="C176" s="225" t="s">
        <v>28</v>
      </c>
      <c r="D176" s="226">
        <v>8</v>
      </c>
      <c r="E176" s="225">
        <v>3</v>
      </c>
      <c r="F176" s="227">
        <v>3000</v>
      </c>
      <c r="G176" s="227">
        <f t="shared" si="92"/>
        <v>72000</v>
      </c>
      <c r="H176" s="544">
        <f t="shared" si="93"/>
        <v>122.06700122067001</v>
      </c>
      <c r="I176" s="642">
        <f t="shared" si="94"/>
        <v>2160</v>
      </c>
      <c r="J176" s="642">
        <f t="shared" si="96"/>
        <v>2800</v>
      </c>
      <c r="K176" s="642">
        <f t="shared" si="95"/>
        <v>9000</v>
      </c>
      <c r="L176" s="501"/>
      <c r="M176" s="501"/>
      <c r="N176" s="501"/>
      <c r="O176" s="565"/>
    </row>
    <row r="177" spans="1:15" ht="16.5" thickBot="1" x14ac:dyDescent="0.3">
      <c r="A177" s="188">
        <v>7</v>
      </c>
      <c r="B177" s="189" t="s">
        <v>552</v>
      </c>
      <c r="C177" s="225" t="s">
        <v>28</v>
      </c>
      <c r="D177" s="226">
        <v>30</v>
      </c>
      <c r="E177" s="225">
        <v>3</v>
      </c>
      <c r="F177" s="227">
        <v>3000</v>
      </c>
      <c r="G177" s="227">
        <f t="shared" si="92"/>
        <v>270000</v>
      </c>
      <c r="H177" s="544">
        <f t="shared" si="93"/>
        <v>457.7512545775125</v>
      </c>
      <c r="I177" s="642">
        <f t="shared" si="94"/>
        <v>8100</v>
      </c>
      <c r="J177" s="642">
        <f t="shared" si="96"/>
        <v>10500</v>
      </c>
      <c r="K177" s="642">
        <f t="shared" si="95"/>
        <v>9000</v>
      </c>
      <c r="L177" s="501"/>
      <c r="M177" s="501"/>
      <c r="N177" s="501"/>
      <c r="O177" s="565"/>
    </row>
    <row r="178" spans="1:15" ht="16.5" thickBot="1" x14ac:dyDescent="0.3">
      <c r="A178" s="188">
        <v>8</v>
      </c>
      <c r="B178" s="189" t="s">
        <v>556</v>
      </c>
      <c r="C178" s="225" t="s">
        <v>28</v>
      </c>
      <c r="D178" s="226">
        <v>14</v>
      </c>
      <c r="E178" s="225">
        <v>3</v>
      </c>
      <c r="F178" s="227">
        <v>3000</v>
      </c>
      <c r="G178" s="227">
        <f t="shared" si="92"/>
        <v>126000</v>
      </c>
      <c r="H178" s="544">
        <f t="shared" si="93"/>
        <v>213.61725213617251</v>
      </c>
      <c r="I178" s="642">
        <f t="shared" si="94"/>
        <v>3780</v>
      </c>
      <c r="J178" s="642">
        <f t="shared" si="96"/>
        <v>4900</v>
      </c>
      <c r="K178" s="642">
        <f t="shared" si="95"/>
        <v>9000</v>
      </c>
      <c r="L178" s="501"/>
      <c r="M178" s="501"/>
      <c r="N178" s="501"/>
      <c r="O178" s="565"/>
    </row>
    <row r="179" spans="1:15" ht="16.5" thickBot="1" x14ac:dyDescent="0.3">
      <c r="A179" s="188">
        <v>9</v>
      </c>
      <c r="B179" s="189" t="s">
        <v>560</v>
      </c>
      <c r="C179" s="225" t="s">
        <v>28</v>
      </c>
      <c r="D179" s="226">
        <v>20</v>
      </c>
      <c r="E179" s="225">
        <v>3</v>
      </c>
      <c r="F179" s="227">
        <v>3000</v>
      </c>
      <c r="G179" s="227">
        <f t="shared" si="92"/>
        <v>180000</v>
      </c>
      <c r="H179" s="544">
        <f t="shared" si="93"/>
        <v>305.167503051675</v>
      </c>
      <c r="I179" s="642">
        <f t="shared" si="94"/>
        <v>5400</v>
      </c>
      <c r="J179" s="642">
        <f t="shared" si="96"/>
        <v>7000</v>
      </c>
      <c r="K179" s="642">
        <f t="shared" si="95"/>
        <v>9000</v>
      </c>
      <c r="L179" s="501"/>
      <c r="M179" s="501"/>
      <c r="N179" s="501"/>
      <c r="O179" s="565"/>
    </row>
    <row r="180" spans="1:15" ht="16.5" thickBot="1" x14ac:dyDescent="0.3">
      <c r="A180" s="188">
        <v>10</v>
      </c>
      <c r="B180" s="189" t="s">
        <v>564</v>
      </c>
      <c r="C180" s="225" t="s">
        <v>28</v>
      </c>
      <c r="D180" s="226">
        <v>10</v>
      </c>
      <c r="E180" s="225">
        <v>3</v>
      </c>
      <c r="F180" s="227">
        <v>3000</v>
      </c>
      <c r="G180" s="227">
        <f t="shared" si="92"/>
        <v>90000</v>
      </c>
      <c r="H180" s="544">
        <f t="shared" si="93"/>
        <v>152.5837515258375</v>
      </c>
      <c r="I180" s="642">
        <f t="shared" si="94"/>
        <v>2700</v>
      </c>
      <c r="J180" s="642">
        <f t="shared" si="96"/>
        <v>3500</v>
      </c>
      <c r="K180" s="642">
        <f t="shared" si="95"/>
        <v>9000</v>
      </c>
      <c r="L180" s="501"/>
      <c r="M180" s="501"/>
      <c r="N180" s="501"/>
      <c r="O180" s="565"/>
    </row>
    <row r="181" spans="1:15" ht="16.5" thickBot="1" x14ac:dyDescent="0.3">
      <c r="A181" s="188">
        <v>11</v>
      </c>
      <c r="B181" s="189" t="s">
        <v>602</v>
      </c>
      <c r="C181" s="225" t="s">
        <v>28</v>
      </c>
      <c r="D181" s="226">
        <v>20</v>
      </c>
      <c r="E181" s="225">
        <v>3</v>
      </c>
      <c r="F181" s="227">
        <v>3000</v>
      </c>
      <c r="G181" s="227">
        <f t="shared" si="92"/>
        <v>180000</v>
      </c>
      <c r="H181" s="544">
        <f t="shared" si="93"/>
        <v>305.167503051675</v>
      </c>
      <c r="I181" s="642">
        <f t="shared" si="94"/>
        <v>5400</v>
      </c>
      <c r="J181" s="642">
        <f t="shared" si="96"/>
        <v>7000</v>
      </c>
      <c r="K181" s="642">
        <f t="shared" si="95"/>
        <v>9000</v>
      </c>
      <c r="L181" s="501"/>
      <c r="M181" s="501"/>
      <c r="N181" s="501"/>
      <c r="O181" s="565"/>
    </row>
    <row r="182" spans="1:15" ht="16.5" thickBot="1" x14ac:dyDescent="0.3">
      <c r="A182" s="188">
        <v>12</v>
      </c>
      <c r="B182" s="189" t="s">
        <v>572</v>
      </c>
      <c r="C182" s="225" t="s">
        <v>28</v>
      </c>
      <c r="D182" s="226">
        <v>20</v>
      </c>
      <c r="E182" s="225">
        <v>3</v>
      </c>
      <c r="F182" s="227">
        <v>3000</v>
      </c>
      <c r="G182" s="227">
        <f t="shared" si="92"/>
        <v>180000</v>
      </c>
      <c r="H182" s="544">
        <f t="shared" si="93"/>
        <v>305.167503051675</v>
      </c>
      <c r="I182" s="642">
        <f t="shared" si="94"/>
        <v>5400</v>
      </c>
      <c r="J182" s="642">
        <f t="shared" si="96"/>
        <v>7000</v>
      </c>
      <c r="K182" s="642">
        <f t="shared" si="95"/>
        <v>9000</v>
      </c>
      <c r="L182" s="501"/>
      <c r="M182" s="501"/>
      <c r="N182" s="501"/>
      <c r="O182" s="565"/>
    </row>
    <row r="183" spans="1:15" ht="16.5" thickBot="1" x14ac:dyDescent="0.3">
      <c r="A183" s="188">
        <v>13</v>
      </c>
      <c r="B183" s="189" t="s">
        <v>576</v>
      </c>
      <c r="C183" s="225" t="s">
        <v>28</v>
      </c>
      <c r="D183" s="226">
        <v>12</v>
      </c>
      <c r="E183" s="225">
        <v>3</v>
      </c>
      <c r="F183" s="227">
        <v>3000</v>
      </c>
      <c r="G183" s="227">
        <f t="shared" si="92"/>
        <v>108000</v>
      </c>
      <c r="H183" s="544">
        <f t="shared" si="93"/>
        <v>183.100501831005</v>
      </c>
      <c r="I183" s="642">
        <f t="shared" si="94"/>
        <v>3240</v>
      </c>
      <c r="J183" s="642">
        <f t="shared" si="96"/>
        <v>4200</v>
      </c>
      <c r="K183" s="642">
        <f t="shared" si="95"/>
        <v>9000</v>
      </c>
      <c r="L183" s="501"/>
      <c r="M183" s="501"/>
      <c r="N183" s="501"/>
      <c r="O183" s="565"/>
    </row>
    <row r="184" spans="1:15" ht="16.5" thickBot="1" x14ac:dyDescent="0.3">
      <c r="A184" s="188">
        <v>14</v>
      </c>
      <c r="B184" s="189" t="s">
        <v>603</v>
      </c>
      <c r="C184" s="225" t="s">
        <v>28</v>
      </c>
      <c r="D184" s="226">
        <v>16</v>
      </c>
      <c r="E184" s="225">
        <v>3</v>
      </c>
      <c r="F184" s="227">
        <v>3000</v>
      </c>
      <c r="G184" s="227">
        <f t="shared" si="92"/>
        <v>144000</v>
      </c>
      <c r="H184" s="544">
        <f t="shared" si="93"/>
        <v>244.13400244134002</v>
      </c>
      <c r="I184" s="642">
        <f t="shared" si="94"/>
        <v>4320</v>
      </c>
      <c r="J184" s="642">
        <f t="shared" si="96"/>
        <v>5600</v>
      </c>
      <c r="K184" s="642">
        <f t="shared" si="95"/>
        <v>9000</v>
      </c>
      <c r="L184" s="501"/>
      <c r="M184" s="501"/>
      <c r="N184" s="501"/>
      <c r="O184" s="565"/>
    </row>
    <row r="185" spans="1:15" ht="16.5" thickBot="1" x14ac:dyDescent="0.3">
      <c r="A185" s="188">
        <v>15</v>
      </c>
      <c r="B185" s="189" t="s">
        <v>43</v>
      </c>
      <c r="C185" s="225" t="s">
        <v>28</v>
      </c>
      <c r="D185" s="226">
        <v>14</v>
      </c>
      <c r="E185" s="225">
        <v>3</v>
      </c>
      <c r="F185" s="227">
        <v>3000</v>
      </c>
      <c r="G185" s="227">
        <f t="shared" si="92"/>
        <v>126000</v>
      </c>
      <c r="H185" s="544">
        <f t="shared" si="93"/>
        <v>213.61725213617251</v>
      </c>
      <c r="I185" s="642">
        <f t="shared" si="94"/>
        <v>3780</v>
      </c>
      <c r="J185" s="642">
        <f t="shared" si="96"/>
        <v>4900</v>
      </c>
      <c r="K185" s="642">
        <f t="shared" si="95"/>
        <v>9000</v>
      </c>
      <c r="L185" s="501"/>
      <c r="M185" s="501"/>
      <c r="N185" s="501"/>
      <c r="O185" s="565"/>
    </row>
    <row r="186" spans="1:15" ht="16.5" thickBot="1" x14ac:dyDescent="0.3">
      <c r="A186" s="188">
        <v>16</v>
      </c>
      <c r="B186" s="26" t="s">
        <v>39</v>
      </c>
      <c r="C186" s="23" t="s">
        <v>28</v>
      </c>
      <c r="D186" s="24">
        <v>14</v>
      </c>
      <c r="E186" s="225">
        <v>3</v>
      </c>
      <c r="F186" s="25">
        <v>2000</v>
      </c>
      <c r="G186" s="227">
        <f t="shared" si="92"/>
        <v>84000</v>
      </c>
      <c r="H186" s="544">
        <f t="shared" si="93"/>
        <v>142.41150142411502</v>
      </c>
      <c r="I186" s="642">
        <f t="shared" si="94"/>
        <v>2520</v>
      </c>
      <c r="J186" s="642">
        <f t="shared" si="96"/>
        <v>4900</v>
      </c>
      <c r="K186" s="642">
        <f t="shared" si="95"/>
        <v>6000</v>
      </c>
      <c r="L186" s="501"/>
      <c r="M186" s="501"/>
      <c r="N186" s="501"/>
      <c r="O186" s="565"/>
    </row>
    <row r="187" spans="1:15" ht="16.5" thickBot="1" x14ac:dyDescent="0.3">
      <c r="A187" s="188">
        <v>17</v>
      </c>
      <c r="B187" s="189" t="s">
        <v>44</v>
      </c>
      <c r="C187" s="225" t="s">
        <v>28</v>
      </c>
      <c r="D187" s="226">
        <f>SUM(D171:D186)</f>
        <v>280</v>
      </c>
      <c r="E187" s="225">
        <v>3</v>
      </c>
      <c r="F187" s="227">
        <v>3000</v>
      </c>
      <c r="G187" s="227">
        <f t="shared" si="92"/>
        <v>2520000</v>
      </c>
      <c r="H187" s="544">
        <f t="shared" si="93"/>
        <v>4272.3450427234502</v>
      </c>
      <c r="I187" s="642">
        <f t="shared" si="94"/>
        <v>75600</v>
      </c>
      <c r="J187" s="642">
        <f t="shared" si="96"/>
        <v>98000</v>
      </c>
      <c r="K187" s="642">
        <f t="shared" si="95"/>
        <v>9000</v>
      </c>
      <c r="L187" s="501"/>
      <c r="M187" s="501"/>
      <c r="N187" s="501"/>
      <c r="O187" s="565"/>
    </row>
    <row r="188" spans="1:15" ht="18.75" thickBot="1" x14ac:dyDescent="0.3">
      <c r="A188" s="341" t="s">
        <v>1311</v>
      </c>
      <c r="B188" s="342"/>
      <c r="C188" s="343"/>
      <c r="D188" s="343"/>
      <c r="E188" s="343"/>
      <c r="F188" s="344"/>
      <c r="G188" s="344">
        <f>SUM(G171:G187)</f>
        <v>4998000</v>
      </c>
      <c r="H188" s="516">
        <f>SUM(H183:H187)</f>
        <v>5055.6083005560831</v>
      </c>
      <c r="I188" s="263">
        <f>SUM(I171:I187)</f>
        <v>149940</v>
      </c>
      <c r="J188" s="263">
        <f>SUM(J171:J187)</f>
        <v>196000</v>
      </c>
      <c r="K188" s="501"/>
      <c r="L188" s="501"/>
      <c r="M188" s="501"/>
      <c r="N188" s="501"/>
      <c r="O188" s="565"/>
    </row>
    <row r="189" spans="1:15" ht="18.75" thickBot="1" x14ac:dyDescent="0.3">
      <c r="A189" s="205"/>
      <c r="B189" s="205" t="s">
        <v>402</v>
      </c>
      <c r="C189" s="225"/>
      <c r="D189" s="226"/>
      <c r="E189" s="226"/>
      <c r="F189" s="227"/>
      <c r="G189" s="227"/>
      <c r="H189" s="547"/>
      <c r="I189" s="530"/>
      <c r="J189" s="501"/>
      <c r="K189" s="501"/>
      <c r="L189" s="501"/>
      <c r="M189" s="501"/>
      <c r="N189" s="501"/>
      <c r="O189" s="565"/>
    </row>
    <row r="190" spans="1:15" ht="16.5" thickBot="1" x14ac:dyDescent="0.3">
      <c r="A190" s="188">
        <v>1</v>
      </c>
      <c r="B190" s="189" t="s">
        <v>529</v>
      </c>
      <c r="C190" s="225" t="s">
        <v>28</v>
      </c>
      <c r="D190" s="226">
        <v>3</v>
      </c>
      <c r="E190" s="225">
        <v>1</v>
      </c>
      <c r="F190" s="227">
        <v>2500</v>
      </c>
      <c r="G190" s="227">
        <f t="shared" ref="G190:G205" si="97">D190*E190*F190</f>
        <v>7500</v>
      </c>
      <c r="H190" s="544">
        <f t="shared" ref="H190:H205" si="98">G190/589.84</f>
        <v>12.715312627153125</v>
      </c>
      <c r="I190" s="642">
        <f t="shared" ref="I190:I204" si="99">G190*0.03</f>
        <v>225</v>
      </c>
      <c r="J190" s="642">
        <f>125*D190</f>
        <v>375</v>
      </c>
      <c r="K190" s="642">
        <f t="shared" ref="K190:K204" si="100">G190/D190</f>
        <v>2500</v>
      </c>
      <c r="L190" s="501"/>
      <c r="M190" s="501"/>
      <c r="N190" s="501"/>
      <c r="O190" s="565"/>
    </row>
    <row r="191" spans="1:15" ht="16.5" thickBot="1" x14ac:dyDescent="0.3">
      <c r="A191" s="188">
        <v>2</v>
      </c>
      <c r="B191" s="189" t="s">
        <v>533</v>
      </c>
      <c r="C191" s="225" t="s">
        <v>28</v>
      </c>
      <c r="D191" s="226">
        <v>10</v>
      </c>
      <c r="E191" s="225">
        <v>1</v>
      </c>
      <c r="F191" s="227">
        <v>2500</v>
      </c>
      <c r="G191" s="227">
        <f t="shared" si="97"/>
        <v>25000</v>
      </c>
      <c r="H191" s="544">
        <f t="shared" si="98"/>
        <v>42.38437542384375</v>
      </c>
      <c r="I191" s="642">
        <f t="shared" si="99"/>
        <v>750</v>
      </c>
      <c r="J191" s="642">
        <f t="shared" ref="J191:J204" si="101">125*D191</f>
        <v>1250</v>
      </c>
      <c r="K191" s="642">
        <f t="shared" si="100"/>
        <v>2500</v>
      </c>
      <c r="L191" s="501"/>
      <c r="M191" s="501"/>
      <c r="N191" s="501"/>
      <c r="O191" s="565"/>
    </row>
    <row r="192" spans="1:15" ht="16.5" thickBot="1" x14ac:dyDescent="0.3">
      <c r="A192" s="188">
        <v>3</v>
      </c>
      <c r="B192" s="189" t="s">
        <v>537</v>
      </c>
      <c r="C192" s="225" t="s">
        <v>28</v>
      </c>
      <c r="D192" s="226">
        <v>20</v>
      </c>
      <c r="E192" s="225">
        <v>1</v>
      </c>
      <c r="F192" s="227">
        <v>2500</v>
      </c>
      <c r="G192" s="227">
        <f t="shared" si="97"/>
        <v>50000</v>
      </c>
      <c r="H192" s="544">
        <f t="shared" si="98"/>
        <v>84.7687508476875</v>
      </c>
      <c r="I192" s="642">
        <f t="shared" si="99"/>
        <v>1500</v>
      </c>
      <c r="J192" s="642">
        <f t="shared" si="101"/>
        <v>2500</v>
      </c>
      <c r="K192" s="642">
        <f t="shared" si="100"/>
        <v>2500</v>
      </c>
      <c r="L192" s="501"/>
      <c r="M192" s="501"/>
      <c r="N192" s="501"/>
      <c r="O192" s="565"/>
    </row>
    <row r="193" spans="1:15" ht="16.5" thickBot="1" x14ac:dyDescent="0.3">
      <c r="A193" s="188">
        <v>4</v>
      </c>
      <c r="B193" s="189" t="s">
        <v>541</v>
      </c>
      <c r="C193" s="225" t="s">
        <v>28</v>
      </c>
      <c r="D193" s="226">
        <v>14</v>
      </c>
      <c r="E193" s="225">
        <v>1</v>
      </c>
      <c r="F193" s="227">
        <v>2500</v>
      </c>
      <c r="G193" s="227">
        <f t="shared" si="97"/>
        <v>35000</v>
      </c>
      <c r="H193" s="544">
        <f t="shared" si="98"/>
        <v>59.33812559338125</v>
      </c>
      <c r="I193" s="642">
        <f t="shared" si="99"/>
        <v>1050</v>
      </c>
      <c r="J193" s="642">
        <f t="shared" si="101"/>
        <v>1750</v>
      </c>
      <c r="K193" s="642">
        <f t="shared" si="100"/>
        <v>2500</v>
      </c>
      <c r="L193" s="501"/>
      <c r="M193" s="501"/>
      <c r="N193" s="501"/>
      <c r="O193" s="565"/>
    </row>
    <row r="194" spans="1:15" ht="16.5" thickBot="1" x14ac:dyDescent="0.3">
      <c r="A194" s="188">
        <v>5</v>
      </c>
      <c r="B194" s="189" t="s">
        <v>545</v>
      </c>
      <c r="C194" s="225" t="s">
        <v>28</v>
      </c>
      <c r="D194" s="226">
        <v>4</v>
      </c>
      <c r="E194" s="225">
        <v>1</v>
      </c>
      <c r="F194" s="227">
        <v>2500</v>
      </c>
      <c r="G194" s="227">
        <f t="shared" si="97"/>
        <v>10000</v>
      </c>
      <c r="H194" s="544">
        <f t="shared" si="98"/>
        <v>16.9537501695375</v>
      </c>
      <c r="I194" s="642">
        <f t="shared" si="99"/>
        <v>300</v>
      </c>
      <c r="J194" s="642">
        <f t="shared" si="101"/>
        <v>500</v>
      </c>
      <c r="K194" s="642">
        <f t="shared" si="100"/>
        <v>2500</v>
      </c>
      <c r="L194" s="501"/>
      <c r="M194" s="501"/>
      <c r="N194" s="501"/>
      <c r="O194" s="565"/>
    </row>
    <row r="195" spans="1:15" ht="16.5" thickBot="1" x14ac:dyDescent="0.3">
      <c r="A195" s="188">
        <v>6</v>
      </c>
      <c r="B195" s="189" t="s">
        <v>549</v>
      </c>
      <c r="C195" s="225" t="s">
        <v>28</v>
      </c>
      <c r="D195" s="226">
        <v>4</v>
      </c>
      <c r="E195" s="225">
        <v>1</v>
      </c>
      <c r="F195" s="227">
        <v>2500</v>
      </c>
      <c r="G195" s="227">
        <f t="shared" si="97"/>
        <v>10000</v>
      </c>
      <c r="H195" s="544">
        <f t="shared" si="98"/>
        <v>16.9537501695375</v>
      </c>
      <c r="I195" s="642">
        <f t="shared" si="99"/>
        <v>300</v>
      </c>
      <c r="J195" s="642">
        <f t="shared" si="101"/>
        <v>500</v>
      </c>
      <c r="K195" s="642">
        <f t="shared" si="100"/>
        <v>2500</v>
      </c>
      <c r="L195" s="501"/>
      <c r="M195" s="501"/>
      <c r="N195" s="501"/>
      <c r="O195" s="565"/>
    </row>
    <row r="196" spans="1:15" ht="16.5" thickBot="1" x14ac:dyDescent="0.3">
      <c r="A196" s="188">
        <v>7</v>
      </c>
      <c r="B196" s="189" t="s">
        <v>553</v>
      </c>
      <c r="C196" s="225" t="s">
        <v>28</v>
      </c>
      <c r="D196" s="226">
        <v>15</v>
      </c>
      <c r="E196" s="225">
        <v>1</v>
      </c>
      <c r="F196" s="227">
        <v>2500</v>
      </c>
      <c r="G196" s="227">
        <f t="shared" si="97"/>
        <v>37500</v>
      </c>
      <c r="H196" s="544">
        <f t="shared" si="98"/>
        <v>63.576563135765625</v>
      </c>
      <c r="I196" s="642">
        <f t="shared" si="99"/>
        <v>1125</v>
      </c>
      <c r="J196" s="642">
        <f t="shared" si="101"/>
        <v>1875</v>
      </c>
      <c r="K196" s="642">
        <f t="shared" si="100"/>
        <v>2500</v>
      </c>
      <c r="L196" s="501"/>
      <c r="M196" s="501"/>
      <c r="N196" s="501"/>
      <c r="O196" s="565"/>
    </row>
    <row r="197" spans="1:15" ht="16.5" thickBot="1" x14ac:dyDescent="0.3">
      <c r="A197" s="188">
        <v>8</v>
      </c>
      <c r="B197" s="189" t="s">
        <v>557</v>
      </c>
      <c r="C197" s="225" t="s">
        <v>28</v>
      </c>
      <c r="D197" s="226">
        <v>7</v>
      </c>
      <c r="E197" s="225">
        <v>1</v>
      </c>
      <c r="F197" s="227">
        <v>2500</v>
      </c>
      <c r="G197" s="227">
        <f t="shared" si="97"/>
        <v>17500</v>
      </c>
      <c r="H197" s="544">
        <f t="shared" si="98"/>
        <v>29.669062796690625</v>
      </c>
      <c r="I197" s="642">
        <f t="shared" si="99"/>
        <v>525</v>
      </c>
      <c r="J197" s="642">
        <f t="shared" si="101"/>
        <v>875</v>
      </c>
      <c r="K197" s="642">
        <f t="shared" si="100"/>
        <v>2500</v>
      </c>
      <c r="L197" s="501"/>
      <c r="M197" s="501"/>
      <c r="N197" s="501"/>
      <c r="O197" s="565"/>
    </row>
    <row r="198" spans="1:15" ht="16.5" thickBot="1" x14ac:dyDescent="0.3">
      <c r="A198" s="188">
        <v>9</v>
      </c>
      <c r="B198" s="189" t="s">
        <v>561</v>
      </c>
      <c r="C198" s="225" t="s">
        <v>28</v>
      </c>
      <c r="D198" s="226">
        <v>10</v>
      </c>
      <c r="E198" s="225">
        <v>1</v>
      </c>
      <c r="F198" s="227">
        <v>2500</v>
      </c>
      <c r="G198" s="227">
        <f t="shared" si="97"/>
        <v>25000</v>
      </c>
      <c r="H198" s="544">
        <f t="shared" si="98"/>
        <v>42.38437542384375</v>
      </c>
      <c r="I198" s="642">
        <f t="shared" si="99"/>
        <v>750</v>
      </c>
      <c r="J198" s="642">
        <f t="shared" si="101"/>
        <v>1250</v>
      </c>
      <c r="K198" s="642">
        <f t="shared" si="100"/>
        <v>2500</v>
      </c>
      <c r="L198" s="501"/>
      <c r="M198" s="501"/>
      <c r="N198" s="501"/>
      <c r="O198" s="565"/>
    </row>
    <row r="199" spans="1:15" ht="16.5" thickBot="1" x14ac:dyDescent="0.3">
      <c r="A199" s="188">
        <v>10</v>
      </c>
      <c r="B199" s="189" t="s">
        <v>565</v>
      </c>
      <c r="C199" s="225" t="s">
        <v>28</v>
      </c>
      <c r="D199" s="226">
        <v>5</v>
      </c>
      <c r="E199" s="225">
        <v>1</v>
      </c>
      <c r="F199" s="227">
        <v>2500</v>
      </c>
      <c r="G199" s="227">
        <f t="shared" si="97"/>
        <v>12500</v>
      </c>
      <c r="H199" s="544">
        <f t="shared" si="98"/>
        <v>21.192187711921875</v>
      </c>
      <c r="I199" s="642">
        <f t="shared" si="99"/>
        <v>375</v>
      </c>
      <c r="J199" s="642">
        <f t="shared" si="101"/>
        <v>625</v>
      </c>
      <c r="K199" s="642">
        <f t="shared" si="100"/>
        <v>2500</v>
      </c>
      <c r="L199" s="501"/>
      <c r="M199" s="501"/>
      <c r="N199" s="501"/>
      <c r="O199" s="565"/>
    </row>
    <row r="200" spans="1:15" ht="16.5" thickBot="1" x14ac:dyDescent="0.3">
      <c r="A200" s="188">
        <v>11</v>
      </c>
      <c r="B200" s="189" t="s">
        <v>604</v>
      </c>
      <c r="C200" s="225" t="s">
        <v>28</v>
      </c>
      <c r="D200" s="226">
        <v>10</v>
      </c>
      <c r="E200" s="225">
        <v>1</v>
      </c>
      <c r="F200" s="227">
        <v>2500</v>
      </c>
      <c r="G200" s="227">
        <f t="shared" si="97"/>
        <v>25000</v>
      </c>
      <c r="H200" s="544">
        <f t="shared" si="98"/>
        <v>42.38437542384375</v>
      </c>
      <c r="I200" s="642">
        <f t="shared" si="99"/>
        <v>750</v>
      </c>
      <c r="J200" s="642">
        <f t="shared" si="101"/>
        <v>1250</v>
      </c>
      <c r="K200" s="642">
        <f t="shared" si="100"/>
        <v>2500</v>
      </c>
      <c r="L200" s="501"/>
      <c r="M200" s="501"/>
      <c r="N200" s="501"/>
      <c r="O200" s="565"/>
    </row>
    <row r="201" spans="1:15" ht="16.5" thickBot="1" x14ac:dyDescent="0.3">
      <c r="A201" s="188">
        <v>12</v>
      </c>
      <c r="B201" s="189" t="s">
        <v>605</v>
      </c>
      <c r="C201" s="225" t="s">
        <v>28</v>
      </c>
      <c r="D201" s="226">
        <v>10</v>
      </c>
      <c r="E201" s="225">
        <v>1</v>
      </c>
      <c r="F201" s="227">
        <v>2500</v>
      </c>
      <c r="G201" s="227">
        <f t="shared" si="97"/>
        <v>25000</v>
      </c>
      <c r="H201" s="544">
        <f t="shared" si="98"/>
        <v>42.38437542384375</v>
      </c>
      <c r="I201" s="642">
        <f t="shared" si="99"/>
        <v>750</v>
      </c>
      <c r="J201" s="642">
        <f t="shared" si="101"/>
        <v>1250</v>
      </c>
      <c r="K201" s="642">
        <f t="shared" si="100"/>
        <v>2500</v>
      </c>
      <c r="L201" s="501"/>
      <c r="M201" s="501"/>
      <c r="N201" s="501"/>
      <c r="O201" s="565"/>
    </row>
    <row r="202" spans="1:15" ht="16.5" thickBot="1" x14ac:dyDescent="0.3">
      <c r="A202" s="188">
        <v>13</v>
      </c>
      <c r="B202" s="189" t="s">
        <v>577</v>
      </c>
      <c r="C202" s="225" t="s">
        <v>28</v>
      </c>
      <c r="D202" s="226">
        <v>6</v>
      </c>
      <c r="E202" s="225">
        <v>1</v>
      </c>
      <c r="F202" s="227">
        <v>2500</v>
      </c>
      <c r="G202" s="227">
        <f t="shared" si="97"/>
        <v>15000</v>
      </c>
      <c r="H202" s="544">
        <f t="shared" si="98"/>
        <v>25.43062525430625</v>
      </c>
      <c r="I202" s="642">
        <f t="shared" si="99"/>
        <v>450</v>
      </c>
      <c r="J202" s="642">
        <f t="shared" si="101"/>
        <v>750</v>
      </c>
      <c r="K202" s="642">
        <f t="shared" si="100"/>
        <v>2500</v>
      </c>
      <c r="L202" s="501"/>
      <c r="M202" s="501"/>
      <c r="N202" s="501"/>
      <c r="O202" s="565"/>
    </row>
    <row r="203" spans="1:15" ht="16.5" thickBot="1" x14ac:dyDescent="0.3">
      <c r="A203" s="188">
        <v>14</v>
      </c>
      <c r="B203" s="189" t="s">
        <v>581</v>
      </c>
      <c r="C203" s="225" t="s">
        <v>28</v>
      </c>
      <c r="D203" s="226">
        <v>8</v>
      </c>
      <c r="E203" s="225">
        <v>1</v>
      </c>
      <c r="F203" s="227">
        <v>2500</v>
      </c>
      <c r="G203" s="227">
        <f t="shared" si="97"/>
        <v>20000</v>
      </c>
      <c r="H203" s="544">
        <f t="shared" si="98"/>
        <v>33.907500339075</v>
      </c>
      <c r="I203" s="642">
        <f t="shared" si="99"/>
        <v>600</v>
      </c>
      <c r="J203" s="642">
        <f t="shared" si="101"/>
        <v>1000</v>
      </c>
      <c r="K203" s="642">
        <f t="shared" si="100"/>
        <v>2500</v>
      </c>
      <c r="L203" s="501"/>
      <c r="M203" s="501"/>
      <c r="N203" s="501"/>
      <c r="O203" s="565"/>
    </row>
    <row r="204" spans="1:15" ht="16.5" thickBot="1" x14ac:dyDescent="0.3">
      <c r="A204" s="188">
        <v>15</v>
      </c>
      <c r="B204" s="189" t="s">
        <v>43</v>
      </c>
      <c r="C204" s="225" t="s">
        <v>28</v>
      </c>
      <c r="D204" s="226">
        <v>14</v>
      </c>
      <c r="E204" s="225">
        <v>1</v>
      </c>
      <c r="F204" s="227">
        <v>3000</v>
      </c>
      <c r="G204" s="227">
        <f t="shared" si="97"/>
        <v>42000</v>
      </c>
      <c r="H204" s="544">
        <f t="shared" si="98"/>
        <v>71.205750712057508</v>
      </c>
      <c r="I204" s="642">
        <f t="shared" si="99"/>
        <v>1260</v>
      </c>
      <c r="J204" s="642">
        <f t="shared" si="101"/>
        <v>1750</v>
      </c>
      <c r="K204" s="642">
        <f t="shared" si="100"/>
        <v>3000</v>
      </c>
      <c r="L204" s="501"/>
      <c r="M204" s="501"/>
      <c r="N204" s="501"/>
      <c r="O204" s="565"/>
    </row>
    <row r="205" spans="1:15" ht="16.5" thickBot="1" x14ac:dyDescent="0.3">
      <c r="A205" s="188">
        <v>16</v>
      </c>
      <c r="B205" s="189" t="s">
        <v>48</v>
      </c>
      <c r="C205" s="225" t="s">
        <v>28</v>
      </c>
      <c r="D205" s="226">
        <f>SUM(D190:D204)</f>
        <v>140</v>
      </c>
      <c r="E205" s="230">
        <v>1</v>
      </c>
      <c r="F205" s="227">
        <v>3000</v>
      </c>
      <c r="G205" s="227">
        <f t="shared" si="97"/>
        <v>420000</v>
      </c>
      <c r="H205" s="544">
        <f t="shared" si="98"/>
        <v>712.057507120575</v>
      </c>
      <c r="I205" s="642">
        <v>0</v>
      </c>
      <c r="J205" s="642">
        <v>0</v>
      </c>
      <c r="K205" s="642">
        <v>0</v>
      </c>
      <c r="L205" s="501"/>
      <c r="M205" s="501"/>
      <c r="N205" s="501"/>
      <c r="O205" s="565"/>
    </row>
    <row r="206" spans="1:15" ht="18.75" thickBot="1" x14ac:dyDescent="0.3">
      <c r="A206" s="341"/>
      <c r="B206" s="342"/>
      <c r="C206" s="343"/>
      <c r="D206" s="343"/>
      <c r="E206" s="343"/>
      <c r="F206" s="344"/>
      <c r="G206" s="344">
        <f>SUM(G190:G205)</f>
        <v>777000</v>
      </c>
      <c r="H206" s="516">
        <f>SUM(H190:H205)</f>
        <v>1317.3063881730636</v>
      </c>
      <c r="I206" s="263">
        <f>SUM(I190:I205)</f>
        <v>10710</v>
      </c>
      <c r="J206" s="263">
        <f>SUM(J190:J205)</f>
        <v>17500</v>
      </c>
      <c r="K206" s="501"/>
      <c r="L206" s="501"/>
      <c r="M206" s="501"/>
      <c r="N206" s="501"/>
      <c r="O206" s="565"/>
    </row>
    <row r="207" spans="1:15" ht="19.149999999999999" customHeight="1" thickBot="1" x14ac:dyDescent="0.3">
      <c r="A207" s="780" t="s">
        <v>523</v>
      </c>
      <c r="B207" s="781"/>
      <c r="C207" s="781"/>
      <c r="D207" s="781"/>
      <c r="E207" s="782"/>
      <c r="F207" s="348"/>
      <c r="G207" s="349"/>
      <c r="H207" s="545"/>
      <c r="I207" s="553"/>
      <c r="J207" s="501"/>
      <c r="K207" s="501"/>
      <c r="L207" s="501"/>
      <c r="M207" s="501"/>
      <c r="N207" s="501"/>
      <c r="O207" s="565"/>
    </row>
    <row r="208" spans="1:15" ht="18.75" thickBot="1" x14ac:dyDescent="0.3">
      <c r="A208" s="245"/>
      <c r="B208" s="246" t="s">
        <v>403</v>
      </c>
      <c r="C208" s="245"/>
      <c r="D208" s="245"/>
      <c r="E208" s="245"/>
      <c r="F208" s="245"/>
      <c r="G208" s="245"/>
      <c r="H208" s="546"/>
      <c r="I208" s="554"/>
      <c r="J208" s="501"/>
      <c r="K208" s="501"/>
      <c r="L208" s="501"/>
      <c r="M208" s="501"/>
      <c r="N208" s="501"/>
      <c r="O208" s="565"/>
    </row>
    <row r="209" spans="1:15" ht="16.5" thickBot="1" x14ac:dyDescent="0.3">
      <c r="A209" s="188">
        <v>1</v>
      </c>
      <c r="B209" s="189" t="s">
        <v>606</v>
      </c>
      <c r="C209" s="225" t="s">
        <v>28</v>
      </c>
      <c r="D209" s="226">
        <v>1</v>
      </c>
      <c r="E209" s="225">
        <v>1</v>
      </c>
      <c r="F209" s="227">
        <v>5000</v>
      </c>
      <c r="G209" s="227">
        <f t="shared" ref="G209:G231" si="102">D209*E209*F209</f>
        <v>5000</v>
      </c>
      <c r="H209" s="544">
        <f t="shared" ref="H209:H231" si="103">G209/589.84</f>
        <v>8.47687508476875</v>
      </c>
      <c r="I209" s="642">
        <f t="shared" ref="I209:I231" si="104">G209*0.03</f>
        <v>150</v>
      </c>
      <c r="J209" s="642">
        <f>250*D209</f>
        <v>250</v>
      </c>
      <c r="K209" s="642">
        <f t="shared" ref="K209:K229" si="105">G209/D209</f>
        <v>5000</v>
      </c>
      <c r="L209" s="501"/>
      <c r="M209" s="501"/>
      <c r="N209" s="501"/>
      <c r="O209" s="565"/>
    </row>
    <row r="210" spans="1:15" ht="16.5" thickBot="1" x14ac:dyDescent="0.3">
      <c r="A210" s="188">
        <v>2</v>
      </c>
      <c r="B210" s="189" t="s">
        <v>607</v>
      </c>
      <c r="C210" s="225" t="s">
        <v>28</v>
      </c>
      <c r="D210" s="226">
        <v>1</v>
      </c>
      <c r="E210" s="225">
        <v>1</v>
      </c>
      <c r="F210" s="227">
        <v>5000</v>
      </c>
      <c r="G210" s="227">
        <f t="shared" si="102"/>
        <v>5000</v>
      </c>
      <c r="H210" s="544">
        <f t="shared" si="103"/>
        <v>8.47687508476875</v>
      </c>
      <c r="I210" s="642">
        <f t="shared" si="104"/>
        <v>150</v>
      </c>
      <c r="J210" s="642">
        <f t="shared" ref="J210:J231" si="106">250*D210</f>
        <v>250</v>
      </c>
      <c r="K210" s="642">
        <f t="shared" si="105"/>
        <v>5000</v>
      </c>
      <c r="L210" s="501"/>
      <c r="M210" s="501"/>
      <c r="N210" s="501"/>
      <c r="O210" s="565"/>
    </row>
    <row r="211" spans="1:15" ht="16.5" thickBot="1" x14ac:dyDescent="0.3">
      <c r="A211" s="188">
        <v>3</v>
      </c>
      <c r="B211" s="189" t="s">
        <v>608</v>
      </c>
      <c r="C211" s="225" t="s">
        <v>28</v>
      </c>
      <c r="D211" s="226">
        <v>1</v>
      </c>
      <c r="E211" s="225">
        <v>1</v>
      </c>
      <c r="F211" s="227">
        <v>5000</v>
      </c>
      <c r="G211" s="227">
        <f t="shared" si="102"/>
        <v>5000</v>
      </c>
      <c r="H211" s="544">
        <f t="shared" si="103"/>
        <v>8.47687508476875</v>
      </c>
      <c r="I211" s="642">
        <f t="shared" si="104"/>
        <v>150</v>
      </c>
      <c r="J211" s="642">
        <f t="shared" si="106"/>
        <v>250</v>
      </c>
      <c r="K211" s="642">
        <f t="shared" si="105"/>
        <v>5000</v>
      </c>
      <c r="L211" s="501"/>
      <c r="M211" s="501"/>
      <c r="N211" s="501"/>
      <c r="O211" s="565"/>
    </row>
    <row r="212" spans="1:15" ht="16.5" thickBot="1" x14ac:dyDescent="0.3">
      <c r="A212" s="188">
        <v>4</v>
      </c>
      <c r="B212" s="189" t="s">
        <v>609</v>
      </c>
      <c r="C212" s="225" t="s">
        <v>28</v>
      </c>
      <c r="D212" s="226">
        <v>1</v>
      </c>
      <c r="E212" s="225">
        <v>1</v>
      </c>
      <c r="F212" s="227">
        <v>5000</v>
      </c>
      <c r="G212" s="227">
        <f t="shared" si="102"/>
        <v>5000</v>
      </c>
      <c r="H212" s="544">
        <f t="shared" si="103"/>
        <v>8.47687508476875</v>
      </c>
      <c r="I212" s="642">
        <f t="shared" si="104"/>
        <v>150</v>
      </c>
      <c r="J212" s="642">
        <f t="shared" si="106"/>
        <v>250</v>
      </c>
      <c r="K212" s="642">
        <f t="shared" si="105"/>
        <v>5000</v>
      </c>
      <c r="L212" s="501"/>
      <c r="M212" s="501"/>
      <c r="N212" s="501"/>
      <c r="O212" s="565"/>
    </row>
    <row r="213" spans="1:15" ht="16.5" thickBot="1" x14ac:dyDescent="0.3">
      <c r="A213" s="188">
        <v>5</v>
      </c>
      <c r="B213" s="189" t="s">
        <v>610</v>
      </c>
      <c r="C213" s="225" t="s">
        <v>28</v>
      </c>
      <c r="D213" s="226">
        <v>1</v>
      </c>
      <c r="E213" s="225">
        <v>1</v>
      </c>
      <c r="F213" s="227">
        <v>5000</v>
      </c>
      <c r="G213" s="227">
        <f t="shared" si="102"/>
        <v>5000</v>
      </c>
      <c r="H213" s="544">
        <f t="shared" si="103"/>
        <v>8.47687508476875</v>
      </c>
      <c r="I213" s="642">
        <f t="shared" si="104"/>
        <v>150</v>
      </c>
      <c r="J213" s="642">
        <f t="shared" si="106"/>
        <v>250</v>
      </c>
      <c r="K213" s="642">
        <f t="shared" si="105"/>
        <v>5000</v>
      </c>
      <c r="L213" s="501"/>
      <c r="M213" s="501"/>
      <c r="N213" s="501"/>
      <c r="O213" s="565"/>
    </row>
    <row r="214" spans="1:15" ht="16.5" thickBot="1" x14ac:dyDescent="0.3">
      <c r="A214" s="188">
        <v>6</v>
      </c>
      <c r="B214" s="189" t="s">
        <v>611</v>
      </c>
      <c r="C214" s="225" t="s">
        <v>28</v>
      </c>
      <c r="D214" s="226">
        <v>1</v>
      </c>
      <c r="E214" s="225">
        <v>1</v>
      </c>
      <c r="F214" s="227">
        <v>5000</v>
      </c>
      <c r="G214" s="227">
        <f t="shared" si="102"/>
        <v>5000</v>
      </c>
      <c r="H214" s="544">
        <f t="shared" si="103"/>
        <v>8.47687508476875</v>
      </c>
      <c r="I214" s="642">
        <f t="shared" si="104"/>
        <v>150</v>
      </c>
      <c r="J214" s="642">
        <f t="shared" si="106"/>
        <v>250</v>
      </c>
      <c r="K214" s="642">
        <f t="shared" si="105"/>
        <v>5000</v>
      </c>
      <c r="L214" s="501"/>
      <c r="M214" s="501"/>
      <c r="N214" s="501"/>
      <c r="O214" s="565"/>
    </row>
    <row r="215" spans="1:15" ht="16.5" thickBot="1" x14ac:dyDescent="0.3">
      <c r="A215" s="188">
        <v>7</v>
      </c>
      <c r="B215" s="189" t="s">
        <v>612</v>
      </c>
      <c r="C215" s="225" t="s">
        <v>28</v>
      </c>
      <c r="D215" s="226">
        <v>1</v>
      </c>
      <c r="E215" s="225">
        <v>1</v>
      </c>
      <c r="F215" s="227">
        <v>5000</v>
      </c>
      <c r="G215" s="227">
        <f t="shared" si="102"/>
        <v>5000</v>
      </c>
      <c r="H215" s="544">
        <f t="shared" si="103"/>
        <v>8.47687508476875</v>
      </c>
      <c r="I215" s="642">
        <f t="shared" si="104"/>
        <v>150</v>
      </c>
      <c r="J215" s="642">
        <f t="shared" si="106"/>
        <v>250</v>
      </c>
      <c r="K215" s="642">
        <f t="shared" si="105"/>
        <v>5000</v>
      </c>
      <c r="L215" s="501"/>
      <c r="M215" s="501"/>
      <c r="N215" s="501"/>
      <c r="O215" s="565"/>
    </row>
    <row r="216" spans="1:15" ht="16.5" thickBot="1" x14ac:dyDescent="0.3">
      <c r="A216" s="188">
        <v>8</v>
      </c>
      <c r="B216" s="189" t="s">
        <v>613</v>
      </c>
      <c r="C216" s="225" t="s">
        <v>28</v>
      </c>
      <c r="D216" s="226">
        <v>1</v>
      </c>
      <c r="E216" s="225">
        <v>1</v>
      </c>
      <c r="F216" s="227">
        <v>5000</v>
      </c>
      <c r="G216" s="227">
        <f t="shared" si="102"/>
        <v>5000</v>
      </c>
      <c r="H216" s="544">
        <f t="shared" si="103"/>
        <v>8.47687508476875</v>
      </c>
      <c r="I216" s="642">
        <f t="shared" si="104"/>
        <v>150</v>
      </c>
      <c r="J216" s="642">
        <f t="shared" si="106"/>
        <v>250</v>
      </c>
      <c r="K216" s="642">
        <f t="shared" si="105"/>
        <v>5000</v>
      </c>
      <c r="L216" s="501"/>
      <c r="M216" s="501"/>
      <c r="N216" s="501"/>
      <c r="O216" s="565"/>
    </row>
    <row r="217" spans="1:15" ht="16.5" thickBot="1" x14ac:dyDescent="0.3">
      <c r="A217" s="188">
        <v>9</v>
      </c>
      <c r="B217" s="189" t="s">
        <v>614</v>
      </c>
      <c r="C217" s="225" t="s">
        <v>28</v>
      </c>
      <c r="D217" s="226">
        <v>1</v>
      </c>
      <c r="E217" s="225">
        <v>1</v>
      </c>
      <c r="F217" s="227">
        <v>5000</v>
      </c>
      <c r="G217" s="227">
        <f t="shared" si="102"/>
        <v>5000</v>
      </c>
      <c r="H217" s="544">
        <f t="shared" si="103"/>
        <v>8.47687508476875</v>
      </c>
      <c r="I217" s="642">
        <f t="shared" si="104"/>
        <v>150</v>
      </c>
      <c r="J217" s="642">
        <f t="shared" si="106"/>
        <v>250</v>
      </c>
      <c r="K217" s="642">
        <f t="shared" si="105"/>
        <v>5000</v>
      </c>
      <c r="L217" s="501"/>
      <c r="M217" s="501"/>
      <c r="N217" s="501"/>
      <c r="O217" s="565"/>
    </row>
    <row r="218" spans="1:15" ht="16.5" thickBot="1" x14ac:dyDescent="0.3">
      <c r="A218" s="188">
        <v>10</v>
      </c>
      <c r="B218" s="189" t="s">
        <v>615</v>
      </c>
      <c r="C218" s="225" t="s">
        <v>28</v>
      </c>
      <c r="D218" s="226">
        <v>1</v>
      </c>
      <c r="E218" s="225">
        <v>1</v>
      </c>
      <c r="F218" s="227">
        <v>5000</v>
      </c>
      <c r="G218" s="227">
        <f t="shared" si="102"/>
        <v>5000</v>
      </c>
      <c r="H218" s="544">
        <f t="shared" si="103"/>
        <v>8.47687508476875</v>
      </c>
      <c r="I218" s="642">
        <f t="shared" si="104"/>
        <v>150</v>
      </c>
      <c r="J218" s="642">
        <f t="shared" si="106"/>
        <v>250</v>
      </c>
      <c r="K218" s="642">
        <f t="shared" si="105"/>
        <v>5000</v>
      </c>
      <c r="L218" s="501"/>
      <c r="M218" s="501"/>
      <c r="N218" s="501"/>
      <c r="O218" s="565"/>
    </row>
    <row r="219" spans="1:15" ht="16.5" thickBot="1" x14ac:dyDescent="0.3">
      <c r="A219" s="188">
        <v>11</v>
      </c>
      <c r="B219" s="189" t="s">
        <v>616</v>
      </c>
      <c r="C219" s="225" t="s">
        <v>28</v>
      </c>
      <c r="D219" s="226">
        <v>1</v>
      </c>
      <c r="E219" s="225">
        <v>1</v>
      </c>
      <c r="F219" s="227">
        <v>5000</v>
      </c>
      <c r="G219" s="227">
        <f t="shared" si="102"/>
        <v>5000</v>
      </c>
      <c r="H219" s="544">
        <f t="shared" si="103"/>
        <v>8.47687508476875</v>
      </c>
      <c r="I219" s="642">
        <f t="shared" si="104"/>
        <v>150</v>
      </c>
      <c r="J219" s="642">
        <f t="shared" si="106"/>
        <v>250</v>
      </c>
      <c r="K219" s="642">
        <f t="shared" si="105"/>
        <v>5000</v>
      </c>
      <c r="L219" s="501"/>
      <c r="M219" s="501"/>
      <c r="N219" s="501"/>
      <c r="O219" s="565"/>
    </row>
    <row r="220" spans="1:15" ht="16.5" thickBot="1" x14ac:dyDescent="0.3">
      <c r="A220" s="188">
        <v>12</v>
      </c>
      <c r="B220" s="189" t="s">
        <v>617</v>
      </c>
      <c r="C220" s="225" t="s">
        <v>28</v>
      </c>
      <c r="D220" s="226">
        <v>1</v>
      </c>
      <c r="E220" s="225">
        <v>1</v>
      </c>
      <c r="F220" s="227">
        <v>5000</v>
      </c>
      <c r="G220" s="227">
        <f t="shared" si="102"/>
        <v>5000</v>
      </c>
      <c r="H220" s="544">
        <f t="shared" si="103"/>
        <v>8.47687508476875</v>
      </c>
      <c r="I220" s="642">
        <f t="shared" si="104"/>
        <v>150</v>
      </c>
      <c r="J220" s="642">
        <f t="shared" si="106"/>
        <v>250</v>
      </c>
      <c r="K220" s="642">
        <f t="shared" si="105"/>
        <v>5000</v>
      </c>
      <c r="L220" s="501"/>
      <c r="M220" s="501"/>
      <c r="N220" s="501"/>
      <c r="O220" s="565"/>
    </row>
    <row r="221" spans="1:15" ht="16.5" thickBot="1" x14ac:dyDescent="0.3">
      <c r="A221" s="188">
        <v>13</v>
      </c>
      <c r="B221" s="189" t="s">
        <v>618</v>
      </c>
      <c r="C221" s="225" t="s">
        <v>28</v>
      </c>
      <c r="D221" s="226">
        <v>1</v>
      </c>
      <c r="E221" s="225">
        <v>1</v>
      </c>
      <c r="F221" s="227">
        <v>5000</v>
      </c>
      <c r="G221" s="227">
        <f t="shared" si="102"/>
        <v>5000</v>
      </c>
      <c r="H221" s="544">
        <f t="shared" si="103"/>
        <v>8.47687508476875</v>
      </c>
      <c r="I221" s="642">
        <f t="shared" si="104"/>
        <v>150</v>
      </c>
      <c r="J221" s="642">
        <f t="shared" si="106"/>
        <v>250</v>
      </c>
      <c r="K221" s="642">
        <f t="shared" si="105"/>
        <v>5000</v>
      </c>
      <c r="L221" s="501"/>
      <c r="M221" s="501"/>
      <c r="N221" s="501"/>
      <c r="O221" s="565"/>
    </row>
    <row r="222" spans="1:15" ht="16.5" thickBot="1" x14ac:dyDescent="0.3">
      <c r="A222" s="188">
        <v>14</v>
      </c>
      <c r="B222" s="189" t="s">
        <v>619</v>
      </c>
      <c r="C222" s="225" t="s">
        <v>28</v>
      </c>
      <c r="D222" s="226">
        <v>1</v>
      </c>
      <c r="E222" s="225">
        <v>1</v>
      </c>
      <c r="F222" s="227">
        <v>5000</v>
      </c>
      <c r="G222" s="227">
        <f t="shared" si="102"/>
        <v>5000</v>
      </c>
      <c r="H222" s="544">
        <f t="shared" si="103"/>
        <v>8.47687508476875</v>
      </c>
      <c r="I222" s="642">
        <f t="shared" si="104"/>
        <v>150</v>
      </c>
      <c r="J222" s="642">
        <f t="shared" si="106"/>
        <v>250</v>
      </c>
      <c r="K222" s="642">
        <f t="shared" si="105"/>
        <v>5000</v>
      </c>
      <c r="L222" s="501"/>
      <c r="M222" s="501"/>
      <c r="N222" s="501"/>
      <c r="O222" s="565"/>
    </row>
    <row r="223" spans="1:15" ht="16.5" thickBot="1" x14ac:dyDescent="0.3">
      <c r="A223" s="188">
        <v>15</v>
      </c>
      <c r="B223" s="189" t="s">
        <v>406</v>
      </c>
      <c r="C223" s="225" t="s">
        <v>28</v>
      </c>
      <c r="D223" s="226">
        <v>1</v>
      </c>
      <c r="E223" s="225">
        <v>1</v>
      </c>
      <c r="F223" s="227">
        <v>5000</v>
      </c>
      <c r="G223" s="227">
        <f t="shared" si="102"/>
        <v>5000</v>
      </c>
      <c r="H223" s="544">
        <f t="shared" si="103"/>
        <v>8.47687508476875</v>
      </c>
      <c r="I223" s="642">
        <f t="shared" si="104"/>
        <v>150</v>
      </c>
      <c r="J223" s="642">
        <f t="shared" si="106"/>
        <v>250</v>
      </c>
      <c r="K223" s="642">
        <f t="shared" si="105"/>
        <v>5000</v>
      </c>
      <c r="L223" s="501"/>
      <c r="M223" s="501"/>
      <c r="N223" s="501"/>
      <c r="O223" s="565"/>
    </row>
    <row r="224" spans="1:15" ht="16.5" thickBot="1" x14ac:dyDescent="0.3">
      <c r="A224" s="188">
        <v>16</v>
      </c>
      <c r="B224" s="189" t="s">
        <v>407</v>
      </c>
      <c r="C224" s="225" t="s">
        <v>28</v>
      </c>
      <c r="D224" s="226">
        <v>2</v>
      </c>
      <c r="E224" s="225">
        <v>1</v>
      </c>
      <c r="F224" s="227">
        <v>5000</v>
      </c>
      <c r="G224" s="227">
        <f t="shared" si="102"/>
        <v>10000</v>
      </c>
      <c r="H224" s="544">
        <f t="shared" si="103"/>
        <v>16.9537501695375</v>
      </c>
      <c r="I224" s="642">
        <f t="shared" si="104"/>
        <v>300</v>
      </c>
      <c r="J224" s="642">
        <f t="shared" si="106"/>
        <v>500</v>
      </c>
      <c r="K224" s="642">
        <f t="shared" si="105"/>
        <v>5000</v>
      </c>
      <c r="L224" s="501"/>
      <c r="M224" s="501"/>
      <c r="N224" s="501"/>
      <c r="O224" s="565"/>
    </row>
    <row r="225" spans="1:15" ht="16.5" thickBot="1" x14ac:dyDescent="0.3">
      <c r="A225" s="188">
        <v>17</v>
      </c>
      <c r="B225" s="189" t="s">
        <v>408</v>
      </c>
      <c r="C225" s="225" t="s">
        <v>28</v>
      </c>
      <c r="D225" s="226">
        <v>8</v>
      </c>
      <c r="E225" s="225">
        <v>1</v>
      </c>
      <c r="F225" s="227">
        <v>5000</v>
      </c>
      <c r="G225" s="227">
        <f t="shared" si="102"/>
        <v>40000</v>
      </c>
      <c r="H225" s="544">
        <f t="shared" si="103"/>
        <v>67.81500067815</v>
      </c>
      <c r="I225" s="642">
        <f t="shared" si="104"/>
        <v>1200</v>
      </c>
      <c r="J225" s="642">
        <f t="shared" si="106"/>
        <v>2000</v>
      </c>
      <c r="K225" s="642">
        <f t="shared" si="105"/>
        <v>5000</v>
      </c>
      <c r="L225" s="501"/>
      <c r="M225" s="501"/>
      <c r="N225" s="501"/>
      <c r="O225" s="565"/>
    </row>
    <row r="226" spans="1:15" ht="16.5" thickBot="1" x14ac:dyDescent="0.3">
      <c r="A226" s="188">
        <v>18</v>
      </c>
      <c r="B226" s="189" t="s">
        <v>425</v>
      </c>
      <c r="C226" s="225" t="s">
        <v>28</v>
      </c>
      <c r="D226" s="226">
        <v>2</v>
      </c>
      <c r="E226" s="225">
        <v>1</v>
      </c>
      <c r="F226" s="227">
        <v>0</v>
      </c>
      <c r="G226" s="227">
        <f t="shared" si="102"/>
        <v>0</v>
      </c>
      <c r="H226" s="544">
        <f t="shared" si="103"/>
        <v>0</v>
      </c>
      <c r="I226" s="642">
        <f t="shared" si="104"/>
        <v>0</v>
      </c>
      <c r="J226" s="642">
        <f t="shared" si="106"/>
        <v>500</v>
      </c>
      <c r="K226" s="642">
        <f t="shared" si="105"/>
        <v>0</v>
      </c>
      <c r="L226" s="501"/>
      <c r="M226" s="501"/>
      <c r="N226" s="501"/>
      <c r="O226" s="565"/>
    </row>
    <row r="227" spans="1:15" ht="16.5" thickBot="1" x14ac:dyDescent="0.3">
      <c r="A227" s="188">
        <v>19</v>
      </c>
      <c r="B227" s="189" t="s">
        <v>423</v>
      </c>
      <c r="C227" s="225" t="s">
        <v>28</v>
      </c>
      <c r="D227" s="226">
        <v>1</v>
      </c>
      <c r="E227" s="225">
        <v>1</v>
      </c>
      <c r="F227" s="227">
        <v>5000</v>
      </c>
      <c r="G227" s="227">
        <f t="shared" si="102"/>
        <v>5000</v>
      </c>
      <c r="H227" s="544">
        <f t="shared" si="103"/>
        <v>8.47687508476875</v>
      </c>
      <c r="I227" s="642">
        <f t="shared" si="104"/>
        <v>150</v>
      </c>
      <c r="J227" s="642">
        <f t="shared" si="106"/>
        <v>250</v>
      </c>
      <c r="K227" s="642">
        <f t="shared" si="105"/>
        <v>5000</v>
      </c>
      <c r="L227" s="501"/>
      <c r="M227" s="501"/>
      <c r="N227" s="501"/>
      <c r="O227" s="565"/>
    </row>
    <row r="228" spans="1:15" ht="16.5" thickBot="1" x14ac:dyDescent="0.3">
      <c r="A228" s="188">
        <v>20</v>
      </c>
      <c r="B228" s="189" t="s">
        <v>424</v>
      </c>
      <c r="C228" s="225" t="s">
        <v>28</v>
      </c>
      <c r="D228" s="226">
        <v>1</v>
      </c>
      <c r="E228" s="225">
        <v>1</v>
      </c>
      <c r="F228" s="227">
        <v>5000</v>
      </c>
      <c r="G228" s="227">
        <f t="shared" si="102"/>
        <v>5000</v>
      </c>
      <c r="H228" s="544">
        <f t="shared" si="103"/>
        <v>8.47687508476875</v>
      </c>
      <c r="I228" s="642">
        <f t="shared" si="104"/>
        <v>150</v>
      </c>
      <c r="J228" s="642">
        <f t="shared" si="106"/>
        <v>250</v>
      </c>
      <c r="K228" s="642">
        <f t="shared" si="105"/>
        <v>5000</v>
      </c>
      <c r="L228" s="501"/>
      <c r="M228" s="501"/>
      <c r="N228" s="501"/>
      <c r="O228" s="565"/>
    </row>
    <row r="229" spans="1:15" ht="16.5" thickBot="1" x14ac:dyDescent="0.3">
      <c r="A229" s="188">
        <v>21</v>
      </c>
      <c r="B229" s="189" t="s">
        <v>409</v>
      </c>
      <c r="C229" s="225" t="s">
        <v>28</v>
      </c>
      <c r="D229" s="226">
        <v>1</v>
      </c>
      <c r="E229" s="225">
        <v>1</v>
      </c>
      <c r="F229" s="227">
        <v>3000</v>
      </c>
      <c r="G229" s="227">
        <f t="shared" si="102"/>
        <v>3000</v>
      </c>
      <c r="H229" s="544">
        <f t="shared" si="103"/>
        <v>5.0861250508612503</v>
      </c>
      <c r="I229" s="642">
        <f t="shared" si="104"/>
        <v>90</v>
      </c>
      <c r="J229" s="642">
        <f t="shared" si="106"/>
        <v>250</v>
      </c>
      <c r="K229" s="642">
        <f t="shared" si="105"/>
        <v>3000</v>
      </c>
      <c r="L229" s="501"/>
      <c r="M229" s="501"/>
      <c r="N229" s="501"/>
      <c r="O229" s="565"/>
    </row>
    <row r="230" spans="1:15" ht="16.5" thickBot="1" x14ac:dyDescent="0.3">
      <c r="A230" s="188">
        <v>22</v>
      </c>
      <c r="B230" s="189" t="s">
        <v>426</v>
      </c>
      <c r="C230" s="225" t="s">
        <v>28</v>
      </c>
      <c r="D230" s="226">
        <f>SUM(D209:D229)</f>
        <v>30</v>
      </c>
      <c r="E230" s="225">
        <v>1</v>
      </c>
      <c r="F230" s="227">
        <v>5000</v>
      </c>
      <c r="G230" s="227">
        <f t="shared" si="102"/>
        <v>150000</v>
      </c>
      <c r="H230" s="544">
        <f t="shared" si="103"/>
        <v>254.3062525430625</v>
      </c>
      <c r="I230" s="642">
        <v>0</v>
      </c>
      <c r="J230" s="642">
        <v>0</v>
      </c>
      <c r="K230" s="642">
        <v>0</v>
      </c>
      <c r="L230" s="501"/>
      <c r="M230" s="501"/>
      <c r="N230" s="501"/>
      <c r="O230" s="565"/>
    </row>
    <row r="231" spans="1:15" ht="16.5" thickBot="1" x14ac:dyDescent="0.3">
      <c r="A231" s="188">
        <v>23</v>
      </c>
      <c r="B231" s="189" t="s">
        <v>410</v>
      </c>
      <c r="C231" s="225" t="s">
        <v>28</v>
      </c>
      <c r="D231" s="226">
        <v>0</v>
      </c>
      <c r="E231" s="225">
        <v>2</v>
      </c>
      <c r="F231" s="227">
        <v>1500</v>
      </c>
      <c r="G231" s="227">
        <f t="shared" si="102"/>
        <v>0</v>
      </c>
      <c r="H231" s="544">
        <f t="shared" si="103"/>
        <v>0</v>
      </c>
      <c r="I231" s="642">
        <f t="shared" si="104"/>
        <v>0</v>
      </c>
      <c r="J231" s="642">
        <f t="shared" si="106"/>
        <v>0</v>
      </c>
      <c r="K231" s="642">
        <v>0</v>
      </c>
      <c r="L231" s="501"/>
      <c r="M231" s="501"/>
      <c r="N231" s="501"/>
      <c r="O231" s="565"/>
    </row>
    <row r="232" spans="1:15" ht="19.149999999999999" customHeight="1" thickBot="1" x14ac:dyDescent="0.3">
      <c r="A232" s="780" t="s">
        <v>527</v>
      </c>
      <c r="B232" s="781"/>
      <c r="C232" s="781"/>
      <c r="D232" s="781"/>
      <c r="E232" s="782"/>
      <c r="F232" s="348"/>
      <c r="G232" s="349">
        <f>SUM(G209:G231)</f>
        <v>288000</v>
      </c>
      <c r="H232" s="545">
        <f>SUM(H209:H231)</f>
        <v>488.26800488267997</v>
      </c>
      <c r="I232" s="263">
        <f>SUM(I209:I231)</f>
        <v>4140</v>
      </c>
      <c r="J232" s="263">
        <f>SUM(J209:J231)</f>
        <v>7500</v>
      </c>
      <c r="K232" s="501"/>
      <c r="L232" s="501"/>
      <c r="M232" s="501"/>
      <c r="N232" s="501"/>
      <c r="O232" s="565"/>
    </row>
    <row r="233" spans="1:15" ht="18.75" thickBot="1" x14ac:dyDescent="0.3">
      <c r="A233" s="231"/>
      <c r="B233" s="234" t="s">
        <v>427</v>
      </c>
      <c r="C233" s="232"/>
      <c r="D233" s="232"/>
      <c r="E233" s="232"/>
      <c r="F233" s="232"/>
      <c r="G233" s="232"/>
      <c r="H233" s="544"/>
      <c r="I233" s="518"/>
      <c r="J233" s="501"/>
      <c r="K233" s="501"/>
      <c r="L233" s="501"/>
      <c r="M233" s="501"/>
      <c r="N233" s="501"/>
      <c r="O233" s="565"/>
    </row>
    <row r="234" spans="1:15" ht="18.75" thickBot="1" x14ac:dyDescent="0.3">
      <c r="A234" s="29"/>
      <c r="B234" s="205" t="s">
        <v>433</v>
      </c>
      <c r="C234" s="29"/>
      <c r="D234" s="29"/>
      <c r="E234" s="29"/>
      <c r="F234" s="29"/>
      <c r="G234" s="29"/>
      <c r="H234" s="544"/>
      <c r="I234" s="518"/>
      <c r="J234" s="501"/>
      <c r="K234" s="501"/>
      <c r="L234" s="501"/>
      <c r="M234" s="501"/>
      <c r="N234" s="501"/>
      <c r="O234" s="565"/>
    </row>
    <row r="235" spans="1:15" ht="16.5" thickBot="1" x14ac:dyDescent="0.3">
      <c r="A235" s="188">
        <v>1</v>
      </c>
      <c r="B235" s="189" t="s">
        <v>620</v>
      </c>
      <c r="C235" s="225" t="s">
        <v>28</v>
      </c>
      <c r="D235" s="226">
        <v>3</v>
      </c>
      <c r="E235" s="225">
        <v>1</v>
      </c>
      <c r="F235" s="227">
        <f>7500-5000</f>
        <v>2500</v>
      </c>
      <c r="G235" s="227">
        <f t="shared" ref="G235:G252" si="107">D235*E235*F235</f>
        <v>7500</v>
      </c>
      <c r="H235" s="544">
        <f t="shared" ref="H235:H252" si="108">G235/589.84</f>
        <v>12.715312627153125</v>
      </c>
      <c r="I235" s="642">
        <f t="shared" ref="I235:I249" si="109">G235*0.03</f>
        <v>225</v>
      </c>
      <c r="J235" s="642">
        <f>125*D235</f>
        <v>375</v>
      </c>
      <c r="K235" s="642">
        <f t="shared" ref="K235:K249" si="110">G235/D235</f>
        <v>2500</v>
      </c>
      <c r="L235" s="501"/>
      <c r="M235" s="501"/>
      <c r="N235" s="501"/>
      <c r="O235" s="565"/>
    </row>
    <row r="236" spans="1:15" ht="16.5" thickBot="1" x14ac:dyDescent="0.3">
      <c r="A236" s="188">
        <v>2</v>
      </c>
      <c r="B236" s="189" t="s">
        <v>621</v>
      </c>
      <c r="C236" s="225" t="s">
        <v>28</v>
      </c>
      <c r="D236" s="226">
        <v>57</v>
      </c>
      <c r="E236" s="225">
        <v>1</v>
      </c>
      <c r="F236" s="227">
        <f t="shared" ref="F236:F247" si="111">7500-5000</f>
        <v>2500</v>
      </c>
      <c r="G236" s="227">
        <f t="shared" si="107"/>
        <v>142500</v>
      </c>
      <c r="H236" s="544">
        <f t="shared" si="108"/>
        <v>241.59093991590939</v>
      </c>
      <c r="I236" s="642">
        <f t="shared" si="109"/>
        <v>4275</v>
      </c>
      <c r="J236" s="642">
        <f t="shared" ref="J236:J248" si="112">125*D236</f>
        <v>7125</v>
      </c>
      <c r="K236" s="642">
        <f t="shared" si="110"/>
        <v>2500</v>
      </c>
      <c r="L236" s="501"/>
      <c r="M236" s="501"/>
      <c r="N236" s="501"/>
      <c r="O236" s="565"/>
    </row>
    <row r="237" spans="1:15" ht="16.5" thickBot="1" x14ac:dyDescent="0.3">
      <c r="A237" s="188">
        <v>3</v>
      </c>
      <c r="B237" s="189" t="s">
        <v>622</v>
      </c>
      <c r="C237" s="225" t="s">
        <v>28</v>
      </c>
      <c r="D237" s="226">
        <v>164</v>
      </c>
      <c r="E237" s="225">
        <v>1</v>
      </c>
      <c r="F237" s="227">
        <f t="shared" si="111"/>
        <v>2500</v>
      </c>
      <c r="G237" s="227">
        <f t="shared" si="107"/>
        <v>410000</v>
      </c>
      <c r="H237" s="544">
        <f t="shared" si="108"/>
        <v>695.10375695103755</v>
      </c>
      <c r="I237" s="642">
        <f t="shared" si="109"/>
        <v>12300</v>
      </c>
      <c r="J237" s="642">
        <f t="shared" si="112"/>
        <v>20500</v>
      </c>
      <c r="K237" s="642">
        <f t="shared" si="110"/>
        <v>2500</v>
      </c>
      <c r="L237" s="501"/>
      <c r="M237" s="501"/>
      <c r="N237" s="501"/>
      <c r="O237" s="565"/>
    </row>
    <row r="238" spans="1:15" ht="16.5" thickBot="1" x14ac:dyDescent="0.3">
      <c r="A238" s="188">
        <v>4</v>
      </c>
      <c r="B238" s="189" t="s">
        <v>623</v>
      </c>
      <c r="C238" s="225" t="s">
        <v>28</v>
      </c>
      <c r="D238" s="226">
        <v>39</v>
      </c>
      <c r="E238" s="225">
        <v>1</v>
      </c>
      <c r="F238" s="227">
        <f t="shared" si="111"/>
        <v>2500</v>
      </c>
      <c r="G238" s="227">
        <f t="shared" si="107"/>
        <v>97500</v>
      </c>
      <c r="H238" s="544">
        <f t="shared" si="108"/>
        <v>165.29906415299064</v>
      </c>
      <c r="I238" s="642">
        <f t="shared" si="109"/>
        <v>2925</v>
      </c>
      <c r="J238" s="642">
        <f t="shared" si="112"/>
        <v>4875</v>
      </c>
      <c r="K238" s="642">
        <f t="shared" si="110"/>
        <v>2500</v>
      </c>
      <c r="L238" s="501"/>
      <c r="M238" s="501"/>
      <c r="N238" s="501"/>
      <c r="O238" s="565"/>
    </row>
    <row r="239" spans="1:15" ht="16.5" thickBot="1" x14ac:dyDescent="0.3">
      <c r="A239" s="188">
        <v>5</v>
      </c>
      <c r="B239" s="189" t="s">
        <v>624</v>
      </c>
      <c r="C239" s="225" t="s">
        <v>28</v>
      </c>
      <c r="D239" s="226">
        <v>11</v>
      </c>
      <c r="E239" s="225">
        <v>1</v>
      </c>
      <c r="F239" s="227">
        <f t="shared" si="111"/>
        <v>2500</v>
      </c>
      <c r="G239" s="227">
        <f t="shared" si="107"/>
        <v>27500</v>
      </c>
      <c r="H239" s="544">
        <f t="shared" si="108"/>
        <v>46.622812966228125</v>
      </c>
      <c r="I239" s="642">
        <f t="shared" si="109"/>
        <v>825</v>
      </c>
      <c r="J239" s="642">
        <f t="shared" si="112"/>
        <v>1375</v>
      </c>
      <c r="K239" s="642">
        <f t="shared" si="110"/>
        <v>2500</v>
      </c>
      <c r="L239" s="501"/>
      <c r="M239" s="501"/>
      <c r="N239" s="501"/>
      <c r="O239" s="565"/>
    </row>
    <row r="240" spans="1:15" ht="16.5" thickBot="1" x14ac:dyDescent="0.3">
      <c r="A240" s="188">
        <v>6</v>
      </c>
      <c r="B240" s="189" t="s">
        <v>625</v>
      </c>
      <c r="C240" s="225" t="s">
        <v>28</v>
      </c>
      <c r="D240" s="225">
        <v>10</v>
      </c>
      <c r="E240" s="225">
        <v>1</v>
      </c>
      <c r="F240" s="227">
        <f t="shared" si="111"/>
        <v>2500</v>
      </c>
      <c r="G240" s="227">
        <f t="shared" si="107"/>
        <v>25000</v>
      </c>
      <c r="H240" s="544">
        <f t="shared" si="108"/>
        <v>42.38437542384375</v>
      </c>
      <c r="I240" s="642">
        <f t="shared" si="109"/>
        <v>750</v>
      </c>
      <c r="J240" s="642">
        <f t="shared" si="112"/>
        <v>1250</v>
      </c>
      <c r="K240" s="642">
        <f t="shared" si="110"/>
        <v>2500</v>
      </c>
      <c r="L240" s="501"/>
      <c r="M240" s="501"/>
      <c r="N240" s="501"/>
      <c r="O240" s="565"/>
    </row>
    <row r="241" spans="1:25" ht="16.5" thickBot="1" x14ac:dyDescent="0.3">
      <c r="A241" s="188">
        <v>7</v>
      </c>
      <c r="B241" s="189" t="s">
        <v>626</v>
      </c>
      <c r="C241" s="225" t="s">
        <v>28</v>
      </c>
      <c r="D241" s="225">
        <v>65</v>
      </c>
      <c r="E241" s="225">
        <v>1</v>
      </c>
      <c r="F241" s="227">
        <f t="shared" si="111"/>
        <v>2500</v>
      </c>
      <c r="G241" s="227">
        <f t="shared" si="107"/>
        <v>162500</v>
      </c>
      <c r="H241" s="544">
        <f t="shared" si="108"/>
        <v>275.49844025498436</v>
      </c>
      <c r="I241" s="642">
        <f t="shared" si="109"/>
        <v>4875</v>
      </c>
      <c r="J241" s="642">
        <f t="shared" si="112"/>
        <v>8125</v>
      </c>
      <c r="K241" s="642">
        <f t="shared" si="110"/>
        <v>2500</v>
      </c>
      <c r="L241" s="501"/>
      <c r="M241" s="501"/>
      <c r="N241" s="501"/>
      <c r="O241" s="565"/>
    </row>
    <row r="242" spans="1:25" ht="16.5" thickBot="1" x14ac:dyDescent="0.3">
      <c r="A242" s="188">
        <v>8</v>
      </c>
      <c r="B242" s="189" t="s">
        <v>627</v>
      </c>
      <c r="C242" s="225" t="s">
        <v>28</v>
      </c>
      <c r="D242" s="225">
        <v>34</v>
      </c>
      <c r="E242" s="225">
        <v>1</v>
      </c>
      <c r="F242" s="227">
        <f t="shared" si="111"/>
        <v>2500</v>
      </c>
      <c r="G242" s="227">
        <f t="shared" si="107"/>
        <v>85000</v>
      </c>
      <c r="H242" s="544">
        <f t="shared" si="108"/>
        <v>144.10687644106875</v>
      </c>
      <c r="I242" s="642">
        <f t="shared" si="109"/>
        <v>2550</v>
      </c>
      <c r="J242" s="642">
        <f t="shared" si="112"/>
        <v>4250</v>
      </c>
      <c r="K242" s="642">
        <f t="shared" si="110"/>
        <v>2500</v>
      </c>
      <c r="L242" s="501"/>
      <c r="M242" s="501"/>
      <c r="N242" s="501"/>
      <c r="O242" s="565"/>
    </row>
    <row r="243" spans="1:25" ht="16.5" thickBot="1" x14ac:dyDescent="0.3">
      <c r="A243" s="188">
        <v>9</v>
      </c>
      <c r="B243" s="189" t="s">
        <v>628</v>
      </c>
      <c r="C243" s="225" t="s">
        <v>28</v>
      </c>
      <c r="D243" s="225">
        <v>22</v>
      </c>
      <c r="E243" s="225">
        <v>1</v>
      </c>
      <c r="F243" s="227">
        <f t="shared" si="111"/>
        <v>2500</v>
      </c>
      <c r="G243" s="227">
        <f t="shared" si="107"/>
        <v>55000</v>
      </c>
      <c r="H243" s="544">
        <f t="shared" si="108"/>
        <v>93.24562593245625</v>
      </c>
      <c r="I243" s="642">
        <f t="shared" si="109"/>
        <v>1650</v>
      </c>
      <c r="J243" s="642">
        <f t="shared" si="112"/>
        <v>2750</v>
      </c>
      <c r="K243" s="642">
        <f t="shared" si="110"/>
        <v>2500</v>
      </c>
      <c r="L243" s="501"/>
      <c r="M243" s="501"/>
      <c r="N243" s="501"/>
      <c r="O243" s="565"/>
    </row>
    <row r="244" spans="1:25" ht="16.5" thickBot="1" x14ac:dyDescent="0.3">
      <c r="A244" s="188">
        <v>10</v>
      </c>
      <c r="B244" s="189" t="s">
        <v>629</v>
      </c>
      <c r="C244" s="225" t="s">
        <v>28</v>
      </c>
      <c r="D244" s="225">
        <v>9</v>
      </c>
      <c r="E244" s="225">
        <v>1</v>
      </c>
      <c r="F244" s="227">
        <f t="shared" si="111"/>
        <v>2500</v>
      </c>
      <c r="G244" s="227">
        <f t="shared" si="107"/>
        <v>22500</v>
      </c>
      <c r="H244" s="544">
        <f t="shared" si="108"/>
        <v>38.145937881459375</v>
      </c>
      <c r="I244" s="642">
        <f t="shared" si="109"/>
        <v>675</v>
      </c>
      <c r="J244" s="642">
        <f t="shared" si="112"/>
        <v>1125</v>
      </c>
      <c r="K244" s="642">
        <f t="shared" si="110"/>
        <v>2500</v>
      </c>
      <c r="L244" s="501"/>
      <c r="M244" s="501"/>
      <c r="N244" s="501"/>
      <c r="O244" s="565"/>
    </row>
    <row r="245" spans="1:25" s="34" customFormat="1" ht="16.5" thickBot="1" x14ac:dyDescent="0.3">
      <c r="A245" s="188">
        <v>11</v>
      </c>
      <c r="B245" s="189" t="s">
        <v>630</v>
      </c>
      <c r="C245" s="225" t="s">
        <v>28</v>
      </c>
      <c r="D245" s="225">
        <v>41</v>
      </c>
      <c r="E245" s="225">
        <v>1</v>
      </c>
      <c r="F245" s="227">
        <f t="shared" si="111"/>
        <v>2500</v>
      </c>
      <c r="G245" s="227">
        <f t="shared" si="107"/>
        <v>102500</v>
      </c>
      <c r="H245" s="544">
        <f t="shared" si="108"/>
        <v>173.77593923775939</v>
      </c>
      <c r="I245" s="642">
        <f t="shared" si="109"/>
        <v>3075</v>
      </c>
      <c r="J245" s="642">
        <f t="shared" si="112"/>
        <v>5125</v>
      </c>
      <c r="K245" s="642">
        <f t="shared" si="110"/>
        <v>2500</v>
      </c>
      <c r="L245" s="501"/>
      <c r="M245" s="501"/>
      <c r="N245" s="501"/>
      <c r="O245" s="565"/>
      <c r="P245"/>
      <c r="Q245"/>
      <c r="R245"/>
      <c r="S245"/>
      <c r="T245"/>
      <c r="U245"/>
      <c r="V245"/>
      <c r="W245"/>
      <c r="X245"/>
      <c r="Y245"/>
    </row>
    <row r="246" spans="1:25" s="34" customFormat="1" ht="20.25" customHeight="1" thickBot="1" x14ac:dyDescent="0.3">
      <c r="A246" s="188">
        <v>12</v>
      </c>
      <c r="B246" s="189" t="s">
        <v>1377</v>
      </c>
      <c r="C246" s="225" t="s">
        <v>28</v>
      </c>
      <c r="D246" s="225">
        <v>43</v>
      </c>
      <c r="E246" s="225">
        <v>1</v>
      </c>
      <c r="F246" s="227">
        <f t="shared" si="111"/>
        <v>2500</v>
      </c>
      <c r="G246" s="227">
        <f t="shared" si="107"/>
        <v>107500</v>
      </c>
      <c r="H246" s="544">
        <f t="shared" si="108"/>
        <v>182.25281432252814</v>
      </c>
      <c r="I246" s="642">
        <f t="shared" si="109"/>
        <v>3225</v>
      </c>
      <c r="J246" s="642">
        <f t="shared" si="112"/>
        <v>5375</v>
      </c>
      <c r="K246" s="642">
        <f t="shared" si="110"/>
        <v>2500</v>
      </c>
      <c r="L246" s="501"/>
      <c r="M246" s="501"/>
      <c r="N246" s="501"/>
      <c r="O246" s="565"/>
      <c r="P246"/>
      <c r="Q246"/>
      <c r="R246"/>
      <c r="S246"/>
      <c r="T246"/>
      <c r="U246"/>
      <c r="V246"/>
      <c r="W246"/>
      <c r="X246"/>
      <c r="Y246"/>
    </row>
    <row r="247" spans="1:25" s="34" customFormat="1" ht="16.5" thickBot="1" x14ac:dyDescent="0.3">
      <c r="A247" s="188">
        <v>13</v>
      </c>
      <c r="B247" s="189" t="s">
        <v>1378</v>
      </c>
      <c r="C247" s="225" t="s">
        <v>28</v>
      </c>
      <c r="D247" s="225">
        <v>12</v>
      </c>
      <c r="E247" s="225">
        <v>1</v>
      </c>
      <c r="F247" s="227">
        <f t="shared" si="111"/>
        <v>2500</v>
      </c>
      <c r="G247" s="227">
        <f t="shared" si="107"/>
        <v>30000</v>
      </c>
      <c r="H247" s="544">
        <f t="shared" si="108"/>
        <v>50.8612505086125</v>
      </c>
      <c r="I247" s="642">
        <f t="shared" si="109"/>
        <v>900</v>
      </c>
      <c r="J247" s="642">
        <f t="shared" si="112"/>
        <v>1500</v>
      </c>
      <c r="K247" s="642">
        <f t="shared" si="110"/>
        <v>2500</v>
      </c>
      <c r="L247" s="501"/>
      <c r="M247" s="501"/>
      <c r="N247" s="501"/>
      <c r="O247" s="565"/>
      <c r="P247"/>
      <c r="Q247"/>
      <c r="R247"/>
      <c r="S247"/>
      <c r="T247"/>
      <c r="U247"/>
      <c r="V247"/>
      <c r="W247"/>
      <c r="X247"/>
      <c r="Y247"/>
    </row>
    <row r="248" spans="1:25" s="34" customFormat="1" ht="16.5" thickBot="1" x14ac:dyDescent="0.3">
      <c r="A248" s="188">
        <v>14</v>
      </c>
      <c r="B248" s="189" t="s">
        <v>1379</v>
      </c>
      <c r="C248" s="225" t="s">
        <v>28</v>
      </c>
      <c r="D248" s="225">
        <v>8</v>
      </c>
      <c r="E248" s="225">
        <v>1</v>
      </c>
      <c r="F248" s="227">
        <f>7500-5000</f>
        <v>2500</v>
      </c>
      <c r="G248" s="227">
        <f t="shared" si="107"/>
        <v>20000</v>
      </c>
      <c r="H248" s="544">
        <f t="shared" si="108"/>
        <v>33.907500339075</v>
      </c>
      <c r="I248" s="642">
        <f t="shared" si="109"/>
        <v>600</v>
      </c>
      <c r="J248" s="642">
        <f t="shared" si="112"/>
        <v>1000</v>
      </c>
      <c r="K248" s="642">
        <f t="shared" si="110"/>
        <v>2500</v>
      </c>
      <c r="L248" s="501"/>
      <c r="M248" s="501"/>
      <c r="N248" s="501"/>
      <c r="O248" s="565"/>
      <c r="P248"/>
      <c r="Q248"/>
      <c r="R248"/>
      <c r="S248"/>
      <c r="T248"/>
      <c r="U248"/>
      <c r="V248"/>
      <c r="W248"/>
      <c r="X248"/>
      <c r="Y248"/>
    </row>
    <row r="249" spans="1:25" s="34" customFormat="1" ht="16.5" thickBot="1" x14ac:dyDescent="0.3">
      <c r="A249" s="188">
        <v>15</v>
      </c>
      <c r="B249" s="189" t="s">
        <v>429</v>
      </c>
      <c r="C249" s="225" t="s">
        <v>28</v>
      </c>
      <c r="D249" s="225">
        <v>14</v>
      </c>
      <c r="E249" s="225">
        <v>1</v>
      </c>
      <c r="F249" s="227">
        <v>3000</v>
      </c>
      <c r="G249" s="227">
        <f t="shared" si="107"/>
        <v>42000</v>
      </c>
      <c r="H249" s="544">
        <f t="shared" si="108"/>
        <v>71.205750712057508</v>
      </c>
      <c r="I249" s="642">
        <f t="shared" si="109"/>
        <v>1260</v>
      </c>
      <c r="J249" s="642">
        <f>250*D249</f>
        <v>3500</v>
      </c>
      <c r="K249" s="642">
        <f t="shared" si="110"/>
        <v>3000</v>
      </c>
      <c r="L249" s="501"/>
      <c r="M249" s="501"/>
      <c r="N249" s="501"/>
      <c r="O249" s="565"/>
      <c r="P249"/>
      <c r="Q249"/>
      <c r="R249"/>
      <c r="S249"/>
      <c r="T249"/>
      <c r="U249"/>
      <c r="V249"/>
      <c r="W249"/>
      <c r="X249"/>
      <c r="Y249"/>
    </row>
    <row r="250" spans="1:25" s="34" customFormat="1" ht="16.5" thickBot="1" x14ac:dyDescent="0.3">
      <c r="A250" s="188">
        <v>16</v>
      </c>
      <c r="B250" s="189" t="s">
        <v>430</v>
      </c>
      <c r="C250" s="225" t="s">
        <v>28</v>
      </c>
      <c r="D250" s="225">
        <v>0</v>
      </c>
      <c r="E250" s="225">
        <v>2</v>
      </c>
      <c r="F250" s="227">
        <v>25000</v>
      </c>
      <c r="G250" s="227">
        <f t="shared" si="107"/>
        <v>0</v>
      </c>
      <c r="H250" s="544">
        <f t="shared" si="108"/>
        <v>0</v>
      </c>
      <c r="I250" s="642">
        <f t="shared" ref="I250:I252" si="113">G250*0.03</f>
        <v>0</v>
      </c>
      <c r="J250" s="642">
        <f t="shared" ref="J250:J252" si="114">250*D250</f>
        <v>0</v>
      </c>
      <c r="K250" s="642">
        <v>0</v>
      </c>
      <c r="L250" s="501"/>
      <c r="M250" s="501"/>
      <c r="N250" s="501"/>
      <c r="O250" s="565"/>
      <c r="P250"/>
      <c r="Q250"/>
      <c r="R250"/>
      <c r="S250"/>
      <c r="T250"/>
      <c r="U250"/>
      <c r="V250"/>
      <c r="W250"/>
      <c r="X250"/>
      <c r="Y250"/>
    </row>
    <row r="251" spans="1:25" s="34" customFormat="1" ht="16.5" thickBot="1" x14ac:dyDescent="0.3">
      <c r="A251" s="188">
        <v>17</v>
      </c>
      <c r="B251" s="189" t="s">
        <v>431</v>
      </c>
      <c r="C251" s="225" t="s">
        <v>30</v>
      </c>
      <c r="D251" s="225">
        <v>0</v>
      </c>
      <c r="E251" s="225">
        <v>1</v>
      </c>
      <c r="F251" s="227">
        <v>850</v>
      </c>
      <c r="G251" s="227">
        <f t="shared" si="107"/>
        <v>0</v>
      </c>
      <c r="H251" s="544">
        <f t="shared" si="108"/>
        <v>0</v>
      </c>
      <c r="I251" s="642">
        <f t="shared" si="113"/>
        <v>0</v>
      </c>
      <c r="J251" s="642">
        <f t="shared" si="114"/>
        <v>0</v>
      </c>
      <c r="K251" s="642">
        <v>0</v>
      </c>
      <c r="L251" s="501"/>
      <c r="M251" s="501"/>
      <c r="N251" s="501"/>
      <c r="O251" s="565"/>
      <c r="P251"/>
      <c r="Q251"/>
      <c r="R251"/>
      <c r="S251"/>
      <c r="T251"/>
      <c r="U251"/>
      <c r="V251"/>
      <c r="W251"/>
      <c r="X251"/>
      <c r="Y251"/>
    </row>
    <row r="252" spans="1:25" s="34" customFormat="1" ht="16.5" thickBot="1" x14ac:dyDescent="0.3">
      <c r="A252" s="188">
        <v>18</v>
      </c>
      <c r="B252" s="189" t="s">
        <v>432</v>
      </c>
      <c r="C252" s="225" t="s">
        <v>30</v>
      </c>
      <c r="D252" s="225">
        <v>0</v>
      </c>
      <c r="E252" s="230">
        <v>1</v>
      </c>
      <c r="F252" s="227">
        <v>800</v>
      </c>
      <c r="G252" s="227">
        <f t="shared" si="107"/>
        <v>0</v>
      </c>
      <c r="H252" s="544">
        <f t="shared" si="108"/>
        <v>0</v>
      </c>
      <c r="I252" s="642">
        <f t="shared" si="113"/>
        <v>0</v>
      </c>
      <c r="J252" s="642">
        <f t="shared" si="114"/>
        <v>0</v>
      </c>
      <c r="K252" s="642">
        <v>0</v>
      </c>
      <c r="L252" s="501"/>
      <c r="M252" s="501"/>
      <c r="N252" s="501"/>
      <c r="O252" s="565"/>
      <c r="P252"/>
      <c r="Q252"/>
      <c r="R252"/>
      <c r="S252"/>
      <c r="T252"/>
      <c r="U252"/>
      <c r="V252"/>
      <c r="W252"/>
      <c r="X252"/>
      <c r="Y252"/>
    </row>
    <row r="253" spans="1:25" s="34" customFormat="1" ht="18.75" thickBot="1" x14ac:dyDescent="0.3">
      <c r="A253" s="807" t="s">
        <v>1312</v>
      </c>
      <c r="B253" s="808"/>
      <c r="C253" s="343"/>
      <c r="D253" s="343"/>
      <c r="E253" s="343"/>
      <c r="F253" s="344"/>
      <c r="G253" s="344">
        <f>SUM(G235:G252)</f>
        <v>1337000</v>
      </c>
      <c r="H253" s="516">
        <f>SUM(H248:H252)</f>
        <v>105.11325105113251</v>
      </c>
      <c r="I253" s="263">
        <f>SUM(I235:I252)</f>
        <v>40110</v>
      </c>
      <c r="J253" s="263">
        <f>SUM(J235:J252)</f>
        <v>68250</v>
      </c>
      <c r="K253" s="501"/>
      <c r="L253" s="501"/>
      <c r="M253" s="501"/>
      <c r="N253" s="501"/>
      <c r="O253" s="565"/>
      <c r="P253"/>
      <c r="Q253"/>
      <c r="R253"/>
      <c r="S253"/>
      <c r="T253"/>
      <c r="U253"/>
      <c r="V253"/>
      <c r="W253"/>
      <c r="X253"/>
      <c r="Y253"/>
    </row>
    <row r="254" spans="1:25" s="48" customFormat="1" ht="18" x14ac:dyDescent="0.25">
      <c r="A254" s="18"/>
      <c r="B254" s="18" t="s">
        <v>1389</v>
      </c>
      <c r="C254" s="18"/>
      <c r="D254" s="18"/>
      <c r="E254" s="18"/>
      <c r="F254" s="18"/>
      <c r="G254" s="18"/>
      <c r="H254" s="550"/>
      <c r="I254" s="554"/>
      <c r="J254" s="530"/>
      <c r="K254" s="501"/>
      <c r="L254" s="501"/>
      <c r="M254" s="501"/>
      <c r="N254" s="501"/>
      <c r="O254" s="565"/>
      <c r="P254"/>
      <c r="Q254"/>
      <c r="R254"/>
      <c r="S254"/>
      <c r="T254"/>
      <c r="U254"/>
      <c r="V254"/>
      <c r="W254"/>
      <c r="X254"/>
      <c r="Y254"/>
    </row>
    <row r="255" spans="1:25" s="48" customFormat="1" ht="16.5" thickBot="1" x14ac:dyDescent="0.3">
      <c r="A255" s="411">
        <v>1</v>
      </c>
      <c r="B255" s="413" t="s">
        <v>1388</v>
      </c>
      <c r="C255" s="404" t="s">
        <v>28</v>
      </c>
      <c r="D255" s="403">
        <v>15</v>
      </c>
      <c r="E255" s="404">
        <v>1</v>
      </c>
      <c r="F255" s="405">
        <v>5000</v>
      </c>
      <c r="G255" s="405">
        <f t="shared" ref="G255:G256" si="115">D255*E255*F255</f>
        <v>75000</v>
      </c>
      <c r="H255" s="415">
        <f t="shared" ref="H255:H256" si="116">G255/589.84</f>
        <v>127.15312627153125</v>
      </c>
      <c r="I255" s="642">
        <f t="shared" ref="I255:I256" si="117">G255*0.03</f>
        <v>2250</v>
      </c>
      <c r="J255" s="642">
        <f>250*D255</f>
        <v>3750</v>
      </c>
      <c r="K255" s="642">
        <f t="shared" ref="K255:K256" si="118">G255/D255</f>
        <v>5000</v>
      </c>
      <c r="L255" s="501"/>
      <c r="M255" s="501"/>
      <c r="N255" s="501"/>
      <c r="O255" s="565"/>
      <c r="P255"/>
      <c r="Q255"/>
      <c r="R255"/>
      <c r="S255"/>
      <c r="T255"/>
      <c r="U255"/>
      <c r="V255"/>
      <c r="W255"/>
      <c r="X255"/>
      <c r="Y255"/>
    </row>
    <row r="256" spans="1:25" s="48" customFormat="1" ht="16.5" thickBot="1" x14ac:dyDescent="0.3">
      <c r="A256" s="188">
        <v>2</v>
      </c>
      <c r="B256" s="413" t="s">
        <v>1474</v>
      </c>
      <c r="C256" s="404" t="s">
        <v>1475</v>
      </c>
      <c r="D256" s="403">
        <v>2</v>
      </c>
      <c r="E256" s="404">
        <v>1</v>
      </c>
      <c r="F256" s="405">
        <v>50000</v>
      </c>
      <c r="G256" s="405">
        <f t="shared" si="115"/>
        <v>100000</v>
      </c>
      <c r="H256" s="551">
        <f t="shared" si="116"/>
        <v>169.537501695375</v>
      </c>
      <c r="I256" s="642">
        <f t="shared" si="117"/>
        <v>3000</v>
      </c>
      <c r="J256" s="642">
        <f>1050*D256</f>
        <v>2100</v>
      </c>
      <c r="K256" s="642">
        <f t="shared" si="118"/>
        <v>50000</v>
      </c>
      <c r="L256" s="501"/>
      <c r="M256" s="501"/>
      <c r="N256" s="501"/>
      <c r="O256" s="565"/>
      <c r="P256"/>
      <c r="Q256"/>
      <c r="R256"/>
      <c r="S256"/>
      <c r="T256"/>
      <c r="U256"/>
      <c r="V256"/>
      <c r="W256"/>
      <c r="X256"/>
      <c r="Y256"/>
    </row>
    <row r="257" spans="1:26" ht="18.75" thickBot="1" x14ac:dyDescent="0.3">
      <c r="A257" s="341"/>
      <c r="B257" s="342" t="s">
        <v>1422</v>
      </c>
      <c r="C257" s="343"/>
      <c r="D257" s="343"/>
      <c r="E257" s="343"/>
      <c r="F257" s="344"/>
      <c r="G257" s="344">
        <f>SUM(G255:G256)</f>
        <v>175000</v>
      </c>
      <c r="H257" s="516">
        <f>SUM(H255:H256)</f>
        <v>296.69062796690628</v>
      </c>
      <c r="I257" s="263">
        <f>SUM(I255:I256)</f>
        <v>5250</v>
      </c>
      <c r="J257" s="263">
        <f>SUM(J255:J256)</f>
        <v>5850</v>
      </c>
      <c r="K257" s="12"/>
      <c r="L257" s="12"/>
      <c r="M257" s="12"/>
      <c r="N257" s="12"/>
      <c r="O257" s="524"/>
    </row>
    <row r="258" spans="1:26" s="48" customFormat="1" ht="15" customHeight="1" thickBot="1" x14ac:dyDescent="0.3">
      <c r="A258" s="411">
        <v>1</v>
      </c>
      <c r="B258" s="704" t="s">
        <v>434</v>
      </c>
      <c r="C258" s="705"/>
      <c r="D258" s="706">
        <v>1</v>
      </c>
      <c r="E258" s="705">
        <v>1</v>
      </c>
      <c r="F258" s="707">
        <v>100000</v>
      </c>
      <c r="G258" s="708">
        <f t="shared" ref="G258" si="119">D258*E258*F258</f>
        <v>100000</v>
      </c>
      <c r="H258" s="709">
        <f t="shared" ref="H258" si="120">G258/589.84</f>
        <v>169.537501695375</v>
      </c>
      <c r="I258" s="518"/>
      <c r="J258" s="501"/>
      <c r="K258" s="501"/>
      <c r="L258" s="501"/>
      <c r="M258" s="501"/>
      <c r="N258" s="501"/>
      <c r="O258" s="565"/>
      <c r="P258"/>
      <c r="Q258"/>
      <c r="R258"/>
      <c r="S258"/>
      <c r="T258"/>
      <c r="U258"/>
      <c r="V258"/>
      <c r="W258"/>
      <c r="X258"/>
      <c r="Y258"/>
    </row>
    <row r="259" spans="1:26" s="48" customFormat="1" ht="18" x14ac:dyDescent="0.25">
      <c r="A259" s="18"/>
      <c r="B259" s="18" t="s">
        <v>1390</v>
      </c>
      <c r="C259" s="18"/>
      <c r="D259" s="18"/>
      <c r="E259" s="18"/>
      <c r="F259" s="18"/>
      <c r="G259" s="18"/>
      <c r="H259" s="550"/>
      <c r="I259" s="554"/>
      <c r="J259" s="530"/>
      <c r="K259" s="501"/>
      <c r="L259" s="501"/>
      <c r="M259" s="501"/>
      <c r="N259" s="501"/>
      <c r="O259" s="565"/>
      <c r="P259"/>
      <c r="Q259"/>
      <c r="R259"/>
      <c r="S259"/>
      <c r="T259"/>
      <c r="U259"/>
      <c r="V259"/>
      <c r="W259"/>
      <c r="X259"/>
      <c r="Y259"/>
    </row>
    <row r="260" spans="1:26" s="48" customFormat="1" ht="18" x14ac:dyDescent="0.25">
      <c r="A260" s="569">
        <v>1</v>
      </c>
      <c r="B260" s="431" t="s">
        <v>1391</v>
      </c>
      <c r="C260" s="431" t="s">
        <v>17</v>
      </c>
      <c r="D260" s="446">
        <v>200</v>
      </c>
      <c r="E260" s="446">
        <v>1</v>
      </c>
      <c r="F260" s="405">
        <v>800</v>
      </c>
      <c r="G260" s="424">
        <f>+D260*E260*F260</f>
        <v>160000</v>
      </c>
      <c r="H260" s="425">
        <f>+G260/589.84</f>
        <v>271.2600027126</v>
      </c>
      <c r="I260" s="518"/>
      <c r="J260" s="530"/>
      <c r="K260" s="501"/>
      <c r="L260" s="501"/>
      <c r="M260" s="501"/>
      <c r="N260" s="501"/>
      <c r="O260" s="565"/>
      <c r="P260"/>
      <c r="Q260"/>
      <c r="R260"/>
      <c r="S260"/>
      <c r="T260"/>
      <c r="U260"/>
      <c r="V260"/>
      <c r="W260"/>
      <c r="X260"/>
      <c r="Y260"/>
    </row>
    <row r="261" spans="1:26" s="430" customFormat="1" ht="18" x14ac:dyDescent="0.25">
      <c r="A261" s="504">
        <v>2</v>
      </c>
      <c r="B261" s="434" t="s">
        <v>1339</v>
      </c>
      <c r="C261" s="434" t="s">
        <v>28</v>
      </c>
      <c r="D261" s="447">
        <v>1</v>
      </c>
      <c r="E261" s="447">
        <v>1</v>
      </c>
      <c r="F261" s="405">
        <v>8000</v>
      </c>
      <c r="G261" s="25">
        <f t="shared" ref="G261:G262" si="121">+D261*E261*F261</f>
        <v>8000</v>
      </c>
      <c r="H261" s="515">
        <f t="shared" ref="H261:H262" si="122">+G261/589.84</f>
        <v>13.56300013563</v>
      </c>
      <c r="I261" s="642">
        <f t="shared" ref="I261:I262" si="123">G261*0.03</f>
        <v>240</v>
      </c>
      <c r="J261" s="642">
        <f>350*D261</f>
        <v>350</v>
      </c>
      <c r="K261" s="642">
        <f t="shared" ref="K261:K262" si="124">G261/D261</f>
        <v>8000</v>
      </c>
      <c r="L261" s="501"/>
      <c r="M261" s="501"/>
      <c r="N261" s="501"/>
      <c r="O261" s="565"/>
      <c r="P261"/>
      <c r="Q261"/>
      <c r="R261"/>
      <c r="S261"/>
      <c r="T261"/>
      <c r="U261"/>
      <c r="V261"/>
      <c r="W261"/>
      <c r="X261"/>
      <c r="Y261"/>
      <c r="Z261" s="499"/>
    </row>
    <row r="262" spans="1:26" s="430" customFormat="1" ht="18.75" thickBot="1" x14ac:dyDescent="0.3">
      <c r="A262" s="504">
        <v>3</v>
      </c>
      <c r="B262" s="434" t="s">
        <v>1394</v>
      </c>
      <c r="C262" s="434" t="s">
        <v>28</v>
      </c>
      <c r="D262" s="447">
        <v>1</v>
      </c>
      <c r="E262" s="447">
        <v>1</v>
      </c>
      <c r="F262" s="405">
        <v>8000</v>
      </c>
      <c r="G262" s="25">
        <f t="shared" si="121"/>
        <v>8000</v>
      </c>
      <c r="H262" s="515">
        <f t="shared" si="122"/>
        <v>13.56300013563</v>
      </c>
      <c r="I262" s="642">
        <f t="shared" si="123"/>
        <v>240</v>
      </c>
      <c r="J262" s="642">
        <f>350*D262</f>
        <v>350</v>
      </c>
      <c r="K262" s="642">
        <f t="shared" si="124"/>
        <v>8000</v>
      </c>
      <c r="L262" s="501"/>
      <c r="M262" s="501"/>
      <c r="N262" s="501"/>
      <c r="O262" s="565"/>
      <c r="P262"/>
      <c r="Q262"/>
      <c r="R262"/>
      <c r="S262"/>
      <c r="T262"/>
      <c r="U262"/>
      <c r="V262"/>
      <c r="W262"/>
      <c r="X262"/>
      <c r="Y262"/>
      <c r="Z262" s="499"/>
    </row>
    <row r="263" spans="1:26" ht="18.75" thickBot="1" x14ac:dyDescent="0.3">
      <c r="A263" s="341" t="s">
        <v>1399</v>
      </c>
      <c r="B263" s="342"/>
      <c r="C263" s="343"/>
      <c r="D263" s="568"/>
      <c r="E263" s="568"/>
      <c r="F263" s="344"/>
      <c r="G263" s="344">
        <f>SUM(G260:G262)</f>
        <v>176000</v>
      </c>
      <c r="H263" s="516">
        <f>SUM(H260:H262)</f>
        <v>298.38600298385995</v>
      </c>
      <c r="I263" s="263">
        <f>SUM(I261:I262)</f>
        <v>480</v>
      </c>
      <c r="J263" s="263">
        <f>SUM(J261:J262)</f>
        <v>700</v>
      </c>
      <c r="K263" s="12"/>
      <c r="L263" s="12"/>
      <c r="M263" s="12"/>
      <c r="N263" s="12"/>
      <c r="O263" s="524"/>
    </row>
    <row r="264" spans="1:26" s="48" customFormat="1" ht="18" x14ac:dyDescent="0.25">
      <c r="A264" s="18"/>
      <c r="B264" s="18" t="s">
        <v>1396</v>
      </c>
      <c r="C264" s="18"/>
      <c r="D264" s="503"/>
      <c r="E264" s="503"/>
      <c r="F264" s="18"/>
      <c r="G264" s="18"/>
      <c r="H264" s="550"/>
      <c r="I264" s="501"/>
      <c r="J264" s="501"/>
      <c r="K264" s="501"/>
      <c r="L264" s="501"/>
      <c r="M264" s="501"/>
      <c r="N264" s="501"/>
      <c r="O264" s="565"/>
      <c r="P264"/>
      <c r="Q264"/>
      <c r="R264"/>
      <c r="S264"/>
      <c r="T264"/>
      <c r="U264"/>
      <c r="V264"/>
      <c r="W264"/>
      <c r="X264"/>
      <c r="Y264"/>
    </row>
    <row r="265" spans="1:26" s="430" customFormat="1" ht="18" x14ac:dyDescent="0.25">
      <c r="A265" s="504">
        <v>1</v>
      </c>
      <c r="B265" s="434" t="s">
        <v>1395</v>
      </c>
      <c r="C265" s="434" t="s">
        <v>28</v>
      </c>
      <c r="D265" s="447">
        <v>4</v>
      </c>
      <c r="E265" s="447">
        <v>6</v>
      </c>
      <c r="F265" s="28">
        <v>10000</v>
      </c>
      <c r="G265" s="25">
        <f>+D265*E265*F265</f>
        <v>240000</v>
      </c>
      <c r="H265" s="515">
        <f>+G265/589.84</f>
        <v>406.8900040689</v>
      </c>
      <c r="I265" s="642">
        <f t="shared" ref="I265" si="125">G265*0.03</f>
        <v>7200</v>
      </c>
      <c r="J265" s="642">
        <f>1600*D265</f>
        <v>6400</v>
      </c>
      <c r="K265" s="642">
        <f t="shared" ref="K265" si="126">G265/D265</f>
        <v>60000</v>
      </c>
      <c r="L265" s="501"/>
      <c r="M265" s="501"/>
      <c r="N265" s="501"/>
      <c r="O265" s="565"/>
      <c r="P265"/>
      <c r="Q265"/>
      <c r="R265"/>
      <c r="S265"/>
      <c r="T265"/>
      <c r="U265"/>
      <c r="V265"/>
      <c r="W265"/>
      <c r="X265"/>
      <c r="Y265"/>
      <c r="Z265" s="499"/>
    </row>
    <row r="266" spans="1:26" s="430" customFormat="1" ht="18.75" thickBot="1" x14ac:dyDescent="0.3">
      <c r="A266" s="504">
        <v>2</v>
      </c>
      <c r="B266" s="434" t="s">
        <v>88</v>
      </c>
      <c r="C266" s="434" t="s">
        <v>17</v>
      </c>
      <c r="D266" s="447">
        <v>1500</v>
      </c>
      <c r="E266" s="447">
        <v>1</v>
      </c>
      <c r="F266" s="28">
        <v>800</v>
      </c>
      <c r="G266" s="25">
        <f t="shared" ref="G266" si="127">+D266*E266*F266</f>
        <v>1200000</v>
      </c>
      <c r="H266" s="515">
        <f t="shared" ref="H266" si="128">+G266/589.84</f>
        <v>2034.4500203445</v>
      </c>
      <c r="I266" s="642">
        <v>0</v>
      </c>
      <c r="J266" s="642">
        <v>0</v>
      </c>
      <c r="K266" s="642">
        <f t="shared" ref="K266" si="129">G266/D266</f>
        <v>800</v>
      </c>
      <c r="L266" s="501"/>
      <c r="M266" s="501"/>
      <c r="N266" s="501"/>
      <c r="O266" s="565"/>
      <c r="P266"/>
      <c r="Q266"/>
      <c r="R266"/>
      <c r="S266"/>
      <c r="T266"/>
      <c r="U266"/>
      <c r="V266"/>
      <c r="W266"/>
      <c r="X266"/>
      <c r="Y266"/>
      <c r="Z266" s="567"/>
    </row>
    <row r="267" spans="1:26" s="34" customFormat="1" ht="19.149999999999999" customHeight="1" thickBot="1" x14ac:dyDescent="0.3">
      <c r="A267" s="780" t="s">
        <v>1398</v>
      </c>
      <c r="B267" s="781"/>
      <c r="C267" s="781"/>
      <c r="D267" s="781"/>
      <c r="E267" s="805"/>
      <c r="F267" s="348"/>
      <c r="G267" s="349">
        <f>SUM(G265:G266)</f>
        <v>1440000</v>
      </c>
      <c r="H267" s="545">
        <f>SUM(H265:H266)</f>
        <v>2441.3400244134</v>
      </c>
      <c r="I267" s="263">
        <f>SUM(I265:I266)</f>
        <v>7200</v>
      </c>
      <c r="J267" s="263">
        <f>SUM(J265:J266)</f>
        <v>6400</v>
      </c>
      <c r="K267" s="263"/>
      <c r="L267" s="555"/>
      <c r="M267" s="555"/>
      <c r="N267" s="555"/>
      <c r="O267" s="566"/>
      <c r="P267"/>
      <c r="Q267"/>
      <c r="R267"/>
      <c r="S267"/>
      <c r="T267"/>
      <c r="U267"/>
      <c r="V267"/>
      <c r="W267"/>
      <c r="X267"/>
      <c r="Y267"/>
      <c r="Z267"/>
    </row>
    <row r="268" spans="1:26" s="34" customFormat="1" ht="24" thickBot="1" x14ac:dyDescent="0.4">
      <c r="A268" s="784" t="s">
        <v>91</v>
      </c>
      <c r="B268" s="785"/>
      <c r="C268" s="785"/>
      <c r="D268" s="785"/>
      <c r="E268" s="786"/>
      <c r="F268" s="351"/>
      <c r="G268" s="249">
        <f>SUM(G267+G263+G258+G257+G253+G232+G206+G188+G169+G140+G118+G107+G100+G93+G86+G79+G72+G65+G58+G51+G44+G37+G30+G23+G16)</f>
        <v>54293500</v>
      </c>
      <c r="H268" s="552">
        <f>SUM(H267+H263+H258+H257+H253+H232+H206+H188+H169+H140+H118+H107+H100+H93+H86+H79+H72+H65+H58+H51+H44+H37+H30+H23+H16)</f>
        <v>86468.364302183632</v>
      </c>
      <c r="I268" s="249">
        <f>I16+I23+I30+I37+I44+I51+I58+I65+I72+I79+I86+I93+I100+I107+I118+I169+I188+I206+I232+I253+I257+I263+I267</f>
        <v>1428015</v>
      </c>
      <c r="J268" s="249">
        <f>J16+J23+J30+J37+J44+J51+J58+J65+J72+J79+J86+J93+J100+J107+J118+J169+J188+J206+J232+J253+J257+J263+J267</f>
        <v>1256400</v>
      </c>
      <c r="K268" s="555"/>
      <c r="L268" s="555"/>
      <c r="M268" s="555"/>
      <c r="N268" s="555"/>
      <c r="O268" s="555"/>
      <c r="P268"/>
      <c r="Q268"/>
      <c r="R268"/>
      <c r="S268"/>
      <c r="T268"/>
      <c r="U268"/>
      <c r="V268"/>
      <c r="W268"/>
      <c r="X268"/>
      <c r="Y268"/>
      <c r="Z268"/>
    </row>
    <row r="269" spans="1:26" s="34" customFormat="1" x14ac:dyDescent="0.25">
      <c r="A269" s="238"/>
      <c r="B269" s="238"/>
      <c r="C269" s="238"/>
      <c r="D269" s="237"/>
      <c r="E269" s="237"/>
      <c r="F269" s="237"/>
      <c r="G269" s="237"/>
      <c r="H269" s="237"/>
      <c r="I269" s="564"/>
      <c r="J269" s="564"/>
      <c r="K269" s="564"/>
      <c r="L269" s="564"/>
      <c r="M269" s="564"/>
      <c r="N269" s="564"/>
      <c r="O269" s="564"/>
      <c r="P269"/>
      <c r="Q269"/>
      <c r="R269"/>
      <c r="S269"/>
      <c r="T269"/>
      <c r="U269"/>
      <c r="V269"/>
      <c r="W269"/>
      <c r="X269"/>
      <c r="Y269"/>
      <c r="Z269"/>
    </row>
    <row r="270" spans="1:26" s="34" customFormat="1" x14ac:dyDescent="0.25">
      <c r="A270" s="238" t="s">
        <v>1535</v>
      </c>
      <c r="B270" s="238"/>
      <c r="C270" s="237"/>
      <c r="D270" s="237"/>
      <c r="E270" s="237"/>
      <c r="F270" s="237"/>
      <c r="G270" s="237"/>
      <c r="H270" s="237"/>
      <c r="I270" s="564"/>
      <c r="J270" s="564"/>
      <c r="K270" s="564"/>
      <c r="L270" s="564"/>
      <c r="M270" s="564"/>
      <c r="N270" s="564"/>
      <c r="O270" s="564"/>
      <c r="P270"/>
      <c r="Q270"/>
      <c r="R270"/>
      <c r="S270"/>
      <c r="T270"/>
      <c r="U270"/>
      <c r="V270"/>
      <c r="W270"/>
      <c r="X270"/>
      <c r="Y270"/>
      <c r="Z270"/>
    </row>
    <row r="271" spans="1:26" s="34" customFormat="1" x14ac:dyDescent="0.25">
      <c r="A271" s="238" t="s">
        <v>1538</v>
      </c>
      <c r="B271" s="238"/>
      <c r="C271" s="237"/>
      <c r="D271" s="237"/>
      <c r="E271" s="237"/>
      <c r="F271" s="237"/>
      <c r="G271" s="237"/>
      <c r="H271" s="237"/>
      <c r="I271" s="564"/>
      <c r="J271" s="564"/>
      <c r="K271" s="564"/>
      <c r="L271" s="564"/>
      <c r="M271" s="564"/>
      <c r="N271" s="564"/>
      <c r="O271" s="564"/>
      <c r="P271"/>
      <c r="Q271"/>
      <c r="R271"/>
      <c r="S271"/>
      <c r="T271"/>
      <c r="U271"/>
      <c r="V271"/>
      <c r="W271"/>
      <c r="X271"/>
      <c r="Y271"/>
      <c r="Z271"/>
    </row>
    <row r="272" spans="1:26" s="34" customFormat="1" x14ac:dyDescent="0.25">
      <c r="A272" s="238"/>
      <c r="B272" s="238"/>
      <c r="C272" s="237"/>
      <c r="D272" s="237"/>
      <c r="E272" s="237"/>
      <c r="F272" s="237"/>
      <c r="G272" s="237"/>
      <c r="H272" s="237"/>
      <c r="I272" s="564"/>
      <c r="J272" s="564"/>
      <c r="K272" s="564"/>
      <c r="L272" s="564"/>
      <c r="M272" s="564"/>
      <c r="N272" s="564"/>
      <c r="O272" s="564"/>
      <c r="P272"/>
      <c r="Q272"/>
      <c r="R272"/>
      <c r="S272"/>
      <c r="T272"/>
      <c r="U272"/>
      <c r="V272"/>
      <c r="W272"/>
      <c r="X272"/>
      <c r="Y272"/>
      <c r="Z272"/>
    </row>
    <row r="273" spans="1:26" s="34" customFormat="1" x14ac:dyDescent="0.25">
      <c r="A273" s="238" t="s">
        <v>1331</v>
      </c>
      <c r="B273" s="238"/>
      <c r="C273" s="237"/>
      <c r="D273" s="237"/>
      <c r="E273" s="237"/>
      <c r="F273" s="237"/>
      <c r="G273" s="237"/>
      <c r="H273" s="237"/>
      <c r="I273" s="564" t="s">
        <v>1536</v>
      </c>
      <c r="J273" s="564"/>
      <c r="K273" s="564"/>
      <c r="L273" s="564"/>
      <c r="M273" s="564" t="s">
        <v>1530</v>
      </c>
      <c r="N273" s="564"/>
      <c r="O273" s="564"/>
      <c r="P273"/>
      <c r="Q273"/>
      <c r="R273"/>
      <c r="S273"/>
      <c r="T273"/>
      <c r="U273"/>
      <c r="V273"/>
      <c r="W273"/>
      <c r="X273"/>
      <c r="Y273"/>
      <c r="Z273"/>
    </row>
    <row r="274" spans="1:26" s="34" customFormat="1" x14ac:dyDescent="0.25">
      <c r="A274" s="237"/>
      <c r="B274" s="239"/>
      <c r="C274" s="237"/>
      <c r="D274" s="237"/>
      <c r="E274" s="237"/>
      <c r="F274" s="237"/>
      <c r="G274" s="237"/>
      <c r="H274" s="237"/>
      <c r="I274" s="564"/>
      <c r="J274" s="564"/>
      <c r="K274" s="564"/>
      <c r="L274" s="564"/>
      <c r="M274" s="564"/>
      <c r="N274" s="564"/>
      <c r="O274" s="564"/>
      <c r="P274"/>
      <c r="Q274"/>
      <c r="R274"/>
      <c r="S274"/>
      <c r="T274"/>
      <c r="U274"/>
      <c r="V274"/>
      <c r="W274"/>
      <c r="X274"/>
      <c r="Y274"/>
      <c r="Z274"/>
    </row>
    <row r="275" spans="1:26" s="34" customFormat="1" x14ac:dyDescent="0.25">
      <c r="A275" s="240" t="s">
        <v>1537</v>
      </c>
      <c r="B275" s="241"/>
      <c r="C275" s="240"/>
      <c r="D275" s="240"/>
      <c r="E275" s="240"/>
      <c r="F275" s="240"/>
      <c r="G275" s="240"/>
      <c r="H275" s="237"/>
      <c r="I275" s="564"/>
      <c r="J275" s="564"/>
      <c r="K275" s="564"/>
      <c r="L275" s="564"/>
      <c r="M275" s="564"/>
      <c r="N275" s="564"/>
      <c r="O275" s="564"/>
      <c r="P275"/>
      <c r="Q275"/>
      <c r="R275"/>
      <c r="S275"/>
      <c r="T275"/>
      <c r="U275"/>
      <c r="V275"/>
      <c r="W275"/>
      <c r="X275"/>
      <c r="Y275"/>
      <c r="Z275"/>
    </row>
    <row r="276" spans="1:26" s="34" customFormat="1" x14ac:dyDescent="0.25">
      <c r="A276" s="240"/>
      <c r="B276" s="241"/>
      <c r="C276" s="240"/>
      <c r="D276" s="240"/>
      <c r="E276" s="240"/>
      <c r="F276" s="240"/>
      <c r="G276" s="237"/>
      <c r="H276" s="237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</row>
    <row r="277" spans="1:26" s="34" customFormat="1" x14ac:dyDescent="0.25">
      <c r="A277" s="240"/>
      <c r="B277" s="241"/>
      <c r="C277" s="240"/>
      <c r="D277" s="240"/>
      <c r="E277" s="240"/>
      <c r="F277" s="240"/>
      <c r="G277" s="240"/>
      <c r="H277" s="237"/>
      <c r="I277"/>
      <c r="J277"/>
      <c r="K277" s="23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</row>
    <row r="278" spans="1:26" s="34" customFormat="1" x14ac:dyDescent="0.25">
      <c r="A278" s="240"/>
      <c r="B278" s="241"/>
      <c r="C278" s="240"/>
      <c r="D278" s="240"/>
      <c r="E278" s="240"/>
      <c r="F278" s="240"/>
      <c r="G278" s="240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</row>
    <row r="279" spans="1:26" s="34" customFormat="1" x14ac:dyDescent="0.25">
      <c r="A279" s="240"/>
      <c r="B279" s="241"/>
      <c r="C279" s="240"/>
      <c r="D279" s="240"/>
      <c r="E279" s="240"/>
      <c r="F279" s="240"/>
      <c r="G279" s="240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</row>
    <row r="280" spans="1:26" s="34" customFormat="1" x14ac:dyDescent="0.25">
      <c r="A280" s="240"/>
      <c r="B280" s="241"/>
      <c r="C280" s="240"/>
      <c r="D280" s="240"/>
      <c r="E280" s="240"/>
      <c r="F280" s="240"/>
      <c r="G280" s="24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</row>
    <row r="281" spans="1:26" s="34" customFormat="1" x14ac:dyDescent="0.25">
      <c r="A281" s="240"/>
      <c r="B281" s="241"/>
      <c r="C281" s="240"/>
      <c r="D281" s="240"/>
      <c r="E281" s="240"/>
      <c r="F281" s="240"/>
      <c r="G281" s="240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</row>
    <row r="282" spans="1:26" s="34" customFormat="1" x14ac:dyDescent="0.25">
      <c r="A282" s="240"/>
      <c r="B282" s="241"/>
      <c r="C282" s="240"/>
      <c r="D282" s="240"/>
      <c r="E282" s="240"/>
      <c r="F282" s="240"/>
      <c r="G282" s="240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</row>
    <row r="283" spans="1:26" s="34" customFormat="1" x14ac:dyDescent="0.25">
      <c r="A283" s="240"/>
      <c r="B283" s="241"/>
      <c r="C283" s="240"/>
      <c r="D283" s="240"/>
      <c r="E283" s="240"/>
      <c r="F283" s="240"/>
      <c r="G283" s="240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</row>
    <row r="284" spans="1:26" s="34" customFormat="1" x14ac:dyDescent="0.25">
      <c r="A284" s="240"/>
      <c r="B284" s="241"/>
      <c r="C284" s="240"/>
      <c r="D284" s="240"/>
      <c r="E284" s="240"/>
      <c r="F284" s="240"/>
      <c r="G284" s="240"/>
      <c r="H284"/>
      <c r="I284"/>
      <c r="J284"/>
      <c r="K284"/>
      <c r="L284"/>
      <c r="M284"/>
      <c r="N284"/>
      <c r="O284"/>
    </row>
    <row r="285" spans="1:26" s="34" customFormat="1" x14ac:dyDescent="0.25">
      <c r="A285" s="240"/>
      <c r="B285" s="241"/>
      <c r="C285" s="240"/>
      <c r="D285" s="240"/>
      <c r="E285" s="240"/>
      <c r="F285" s="240"/>
      <c r="G285" s="240"/>
      <c r="H285"/>
      <c r="I285"/>
      <c r="J285"/>
      <c r="K285"/>
      <c r="L285"/>
      <c r="M285"/>
      <c r="N285"/>
      <c r="O285"/>
    </row>
    <row r="286" spans="1:26" s="34" customFormat="1" x14ac:dyDescent="0.25">
      <c r="A286" s="240"/>
      <c r="B286" s="241"/>
      <c r="C286" s="240"/>
      <c r="D286" s="240"/>
      <c r="E286" s="240"/>
      <c r="F286" s="240"/>
      <c r="G286" s="240"/>
      <c r="H286"/>
      <c r="I286"/>
      <c r="J286"/>
      <c r="K286"/>
      <c r="L286"/>
      <c r="M286"/>
      <c r="N286"/>
      <c r="O286"/>
    </row>
    <row r="287" spans="1:26" s="34" customFormat="1" x14ac:dyDescent="0.25">
      <c r="A287" s="240"/>
      <c r="B287" s="241"/>
      <c r="C287" s="240"/>
      <c r="D287" s="240"/>
      <c r="E287" s="240"/>
      <c r="F287" s="240"/>
      <c r="G287" s="240"/>
      <c r="H287"/>
      <c r="I287"/>
      <c r="J287"/>
      <c r="K287"/>
      <c r="L287"/>
      <c r="M287"/>
      <c r="N287"/>
      <c r="O287"/>
    </row>
    <row r="288" spans="1:26" s="34" customFormat="1" x14ac:dyDescent="0.25">
      <c r="A288" s="240"/>
      <c r="B288" s="241"/>
      <c r="C288" s="240"/>
      <c r="D288" s="240"/>
      <c r="E288" s="240"/>
      <c r="F288" s="240"/>
      <c r="G288" s="240"/>
      <c r="H288"/>
      <c r="I288"/>
      <c r="J288"/>
      <c r="K288"/>
      <c r="L288"/>
      <c r="M288"/>
      <c r="N288"/>
      <c r="O288"/>
    </row>
    <row r="289" spans="1:15" s="34" customFormat="1" x14ac:dyDescent="0.25">
      <c r="A289" s="240"/>
      <c r="B289" s="241"/>
      <c r="C289" s="240"/>
      <c r="D289" s="240"/>
      <c r="E289" s="240"/>
      <c r="F289" s="240"/>
      <c r="G289" s="240"/>
      <c r="H289"/>
      <c r="I289"/>
      <c r="J289"/>
      <c r="K289"/>
      <c r="L289"/>
      <c r="M289"/>
      <c r="N289"/>
      <c r="O289"/>
    </row>
    <row r="290" spans="1:15" s="34" customFormat="1" x14ac:dyDescent="0.25">
      <c r="A290" s="240"/>
      <c r="B290" s="241"/>
      <c r="C290" s="240"/>
      <c r="D290" s="240"/>
      <c r="E290" s="240"/>
      <c r="F290" s="240"/>
      <c r="G290" s="240"/>
      <c r="H290"/>
      <c r="I290"/>
      <c r="J290"/>
      <c r="K290"/>
      <c r="L290"/>
      <c r="M290"/>
      <c r="N290"/>
      <c r="O290"/>
    </row>
    <row r="291" spans="1:15" x14ac:dyDescent="0.25">
      <c r="A291" s="240"/>
      <c r="B291" s="241"/>
      <c r="C291" s="240"/>
      <c r="D291" s="240"/>
      <c r="E291" s="240"/>
      <c r="F291" s="240"/>
      <c r="G291" s="240"/>
    </row>
    <row r="292" spans="1:15" x14ac:dyDescent="0.25">
      <c r="A292" s="240"/>
      <c r="B292" s="241"/>
      <c r="C292" s="240"/>
      <c r="D292" s="240"/>
      <c r="E292" s="240"/>
      <c r="F292" s="240"/>
      <c r="G292" s="240"/>
    </row>
    <row r="293" spans="1:15" x14ac:dyDescent="0.25">
      <c r="A293" s="240"/>
      <c r="B293" s="241"/>
      <c r="C293" s="240"/>
      <c r="D293" s="240"/>
      <c r="E293" s="240"/>
      <c r="F293" s="240"/>
      <c r="G293" s="240"/>
    </row>
    <row r="294" spans="1:15" x14ac:dyDescent="0.25">
      <c r="A294" s="240"/>
      <c r="B294" s="241"/>
      <c r="C294" s="240"/>
      <c r="D294" s="240"/>
      <c r="E294" s="240"/>
      <c r="F294" s="240"/>
      <c r="G294" s="240"/>
    </row>
    <row r="295" spans="1:15" x14ac:dyDescent="0.25">
      <c r="A295" s="240"/>
      <c r="B295" s="241"/>
      <c r="C295" s="240"/>
      <c r="D295" s="240"/>
      <c r="E295" s="240"/>
      <c r="F295" s="240"/>
      <c r="G295" s="240"/>
    </row>
    <row r="296" spans="1:15" x14ac:dyDescent="0.25">
      <c r="B296" s="121"/>
    </row>
    <row r="297" spans="1:15" x14ac:dyDescent="0.25">
      <c r="B297" s="121"/>
    </row>
    <row r="298" spans="1:15" x14ac:dyDescent="0.25">
      <c r="B298" s="121"/>
    </row>
    <row r="299" spans="1:15" x14ac:dyDescent="0.25">
      <c r="B299" s="121"/>
    </row>
    <row r="300" spans="1:15" x14ac:dyDescent="0.25">
      <c r="B300" s="121"/>
    </row>
    <row r="301" spans="1:15" x14ac:dyDescent="0.25">
      <c r="B301" s="121"/>
    </row>
    <row r="302" spans="1:15" x14ac:dyDescent="0.25">
      <c r="B302" s="121"/>
    </row>
    <row r="303" spans="1:15" x14ac:dyDescent="0.25">
      <c r="B303" s="121"/>
    </row>
    <row r="304" spans="1:15" x14ac:dyDescent="0.25">
      <c r="B304" s="121"/>
    </row>
    <row r="305" spans="2:2" x14ac:dyDescent="0.25">
      <c r="B305" s="121"/>
    </row>
  </sheetData>
  <mergeCells count="9">
    <mergeCell ref="O7:O8"/>
    <mergeCell ref="A119:E119"/>
    <mergeCell ref="A268:E268"/>
    <mergeCell ref="A267:E267"/>
    <mergeCell ref="A207:E207"/>
    <mergeCell ref="A232:E232"/>
    <mergeCell ref="A7:F7"/>
    <mergeCell ref="A253:B253"/>
    <mergeCell ref="A140:E14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2AF22A"/>
  </sheetPr>
  <dimension ref="A1:K227"/>
  <sheetViews>
    <sheetView topLeftCell="A72" zoomScale="80" zoomScaleNormal="80" workbookViewId="0">
      <selection activeCell="D85" sqref="D85"/>
    </sheetView>
  </sheetViews>
  <sheetFormatPr baseColWidth="10" defaultColWidth="10.625" defaultRowHeight="15.75" x14ac:dyDescent="0.25"/>
  <cols>
    <col min="1" max="1" width="13.625" style="48" customWidth="1"/>
    <col min="2" max="2" width="52" style="48" customWidth="1"/>
    <col min="3" max="3" width="20" style="48" customWidth="1"/>
    <col min="4" max="4" width="15.125" style="48" customWidth="1"/>
    <col min="5" max="5" width="7.875" style="48" customWidth="1"/>
    <col min="6" max="6" width="14.75" style="48" customWidth="1"/>
    <col min="7" max="7" width="20.125" style="48" customWidth="1"/>
    <col min="8" max="8" width="16.375" customWidth="1"/>
    <col min="9" max="10" width="25.375" bestFit="1" customWidth="1"/>
    <col min="11" max="11" width="20.375" customWidth="1"/>
    <col min="12" max="252" width="8.875" customWidth="1"/>
  </cols>
  <sheetData>
    <row r="1" spans="1:11" x14ac:dyDescent="0.25">
      <c r="A1" s="207" t="s">
        <v>1344</v>
      </c>
      <c r="B1" s="207"/>
      <c r="C1" s="207"/>
      <c r="D1" s="207"/>
      <c r="E1" s="207"/>
      <c r="F1" s="207"/>
      <c r="G1" s="207"/>
      <c r="H1" s="207"/>
      <c r="I1" s="208"/>
      <c r="J1" s="208"/>
      <c r="K1" s="208"/>
    </row>
    <row r="2" spans="1:11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208"/>
      <c r="J2" s="208"/>
      <c r="K2" s="208"/>
    </row>
    <row r="3" spans="1:11" x14ac:dyDescent="0.25">
      <c r="A3" s="207" t="s">
        <v>1520</v>
      </c>
      <c r="B3" s="207"/>
      <c r="C3" s="207"/>
      <c r="D3" s="207"/>
      <c r="E3" s="207"/>
      <c r="F3" s="207"/>
      <c r="G3" s="207"/>
      <c r="H3" s="207"/>
      <c r="I3" s="208"/>
      <c r="J3" s="208"/>
      <c r="K3" s="208"/>
    </row>
    <row r="4" spans="1:11" ht="16.5" thickBot="1" x14ac:dyDescent="0.3">
      <c r="A4" s="207" t="s">
        <v>1</v>
      </c>
      <c r="B4" s="207"/>
      <c r="C4" s="207"/>
      <c r="D4" s="207"/>
      <c r="E4" s="207"/>
      <c r="F4" s="207"/>
      <c r="G4" s="207"/>
      <c r="H4" s="207"/>
      <c r="I4" s="208"/>
      <c r="J4" s="208"/>
      <c r="K4" s="208"/>
    </row>
    <row r="5" spans="1:11" ht="19.5" thickBot="1" x14ac:dyDescent="0.3">
      <c r="A5" s="1" t="s">
        <v>485</v>
      </c>
      <c r="B5" s="1"/>
      <c r="C5" s="249">
        <f>G196</f>
        <v>29035500</v>
      </c>
      <c r="D5" s="340">
        <f>H196</f>
        <v>49226.061304760602</v>
      </c>
      <c r="E5" s="1"/>
      <c r="F5" s="1"/>
      <c r="G5" s="1"/>
      <c r="H5" s="1"/>
      <c r="I5" s="2"/>
      <c r="J5" s="2"/>
      <c r="K5" s="2"/>
    </row>
    <row r="6" spans="1:11" ht="16.5" thickBot="1" x14ac:dyDescent="0.3">
      <c r="A6" s="207" t="s">
        <v>1539</v>
      </c>
      <c r="B6" s="1" t="s">
        <v>1522</v>
      </c>
      <c r="C6" s="1"/>
      <c r="D6" s="1"/>
      <c r="E6" s="1"/>
      <c r="F6" s="1"/>
      <c r="G6" s="1"/>
      <c r="H6" s="1"/>
      <c r="I6" s="2"/>
      <c r="J6" s="2"/>
      <c r="K6" s="2"/>
    </row>
    <row r="7" spans="1:11" ht="16.5" thickBot="1" x14ac:dyDescent="0.3">
      <c r="A7" s="809" t="s">
        <v>3</v>
      </c>
      <c r="B7" s="810"/>
      <c r="C7" s="810"/>
      <c r="D7" s="810"/>
      <c r="E7" s="810"/>
      <c r="F7" s="810"/>
      <c r="G7" s="810"/>
      <c r="H7" s="811"/>
      <c r="I7" s="497"/>
      <c r="J7" s="498"/>
      <c r="K7" s="9"/>
    </row>
    <row r="8" spans="1:11" ht="19.5" thickBot="1" x14ac:dyDescent="0.35">
      <c r="A8" s="6" t="s">
        <v>1534</v>
      </c>
      <c r="B8" s="4" t="s">
        <v>1533</v>
      </c>
      <c r="C8" s="4" t="s">
        <v>8</v>
      </c>
      <c r="D8" s="7" t="s">
        <v>9</v>
      </c>
      <c r="E8" s="4" t="s">
        <v>10</v>
      </c>
      <c r="F8" s="7" t="s">
        <v>11</v>
      </c>
      <c r="G8" s="8" t="s">
        <v>12</v>
      </c>
      <c r="H8" s="8" t="s">
        <v>1532</v>
      </c>
      <c r="I8" s="641" t="s">
        <v>1613</v>
      </c>
      <c r="J8" s="678" t="s">
        <v>1614</v>
      </c>
      <c r="K8" s="651" t="s">
        <v>1617</v>
      </c>
    </row>
    <row r="9" spans="1:11" s="48" customFormat="1" ht="72" x14ac:dyDescent="0.25">
      <c r="A9" s="18"/>
      <c r="B9" s="502" t="s">
        <v>428</v>
      </c>
      <c r="C9" s="18"/>
      <c r="D9" s="18"/>
      <c r="E9" s="18"/>
      <c r="F9" s="18"/>
      <c r="G9" s="18"/>
      <c r="H9" s="416"/>
      <c r="I9" s="522"/>
      <c r="J9" s="522"/>
      <c r="K9" s="522"/>
    </row>
    <row r="10" spans="1:11" x14ac:dyDescent="0.25">
      <c r="A10" s="217"/>
      <c r="B10" s="218"/>
      <c r="C10" s="218"/>
      <c r="D10" s="219"/>
      <c r="E10" s="218"/>
      <c r="F10" s="219"/>
      <c r="G10" s="220"/>
      <c r="H10" s="220"/>
      <c r="I10" s="10"/>
      <c r="J10" s="5"/>
      <c r="K10" s="5"/>
    </row>
    <row r="11" spans="1:11" x14ac:dyDescent="0.25">
      <c r="A11" s="186">
        <v>1</v>
      </c>
      <c r="B11" s="187" t="s">
        <v>452</v>
      </c>
      <c r="C11" s="221" t="s">
        <v>28</v>
      </c>
      <c r="D11" s="222">
        <v>8</v>
      </c>
      <c r="E11" s="221">
        <v>10</v>
      </c>
      <c r="F11" s="223">
        <v>7500</v>
      </c>
      <c r="G11" s="673">
        <f t="shared" ref="G11:G16" si="0">D11*E11*F11</f>
        <v>600000</v>
      </c>
      <c r="H11" s="435">
        <f>G11/589.84</f>
        <v>1017.22501017225</v>
      </c>
      <c r="I11" s="642">
        <f>G11*0.03</f>
        <v>18000</v>
      </c>
      <c r="J11" s="642">
        <f>1600*D11</f>
        <v>12800</v>
      </c>
      <c r="K11" s="642">
        <f>G11/D11</f>
        <v>75000</v>
      </c>
    </row>
    <row r="12" spans="1:11" x14ac:dyDescent="0.25">
      <c r="A12" s="188">
        <v>2</v>
      </c>
      <c r="B12" s="189" t="s">
        <v>453</v>
      </c>
      <c r="C12" s="225" t="s">
        <v>28</v>
      </c>
      <c r="D12" s="226">
        <v>4</v>
      </c>
      <c r="E12" s="221">
        <v>10</v>
      </c>
      <c r="F12" s="227">
        <v>3000</v>
      </c>
      <c r="G12" s="227">
        <f t="shared" si="0"/>
        <v>120000</v>
      </c>
      <c r="H12" s="268">
        <f>G12/589.84</f>
        <v>203.44500203445</v>
      </c>
      <c r="I12" s="642">
        <f t="shared" ref="I12:I16" si="1">G12*0.03</f>
        <v>3600</v>
      </c>
      <c r="J12" s="642">
        <f>1050*D12</f>
        <v>4200</v>
      </c>
      <c r="K12" s="642">
        <f t="shared" ref="K12:K16" si="2">G12/D12</f>
        <v>30000</v>
      </c>
    </row>
    <row r="13" spans="1:11" ht="28.5" x14ac:dyDescent="0.25">
      <c r="A13" s="188">
        <v>3</v>
      </c>
      <c r="B13" s="189" t="s">
        <v>454</v>
      </c>
      <c r="C13" s="225" t="s">
        <v>28</v>
      </c>
      <c r="D13" s="226">
        <v>1</v>
      </c>
      <c r="E13" s="221">
        <v>10</v>
      </c>
      <c r="F13" s="227">
        <v>7500</v>
      </c>
      <c r="G13" s="227">
        <f t="shared" si="0"/>
        <v>75000</v>
      </c>
      <c r="H13" s="268">
        <f t="shared" ref="H13:H76" si="3">G13/589.84</f>
        <v>127.15312627153125</v>
      </c>
      <c r="I13" s="642">
        <f t="shared" si="1"/>
        <v>2250</v>
      </c>
      <c r="J13" s="642">
        <f>1600*D13</f>
        <v>1600</v>
      </c>
      <c r="K13" s="642">
        <f t="shared" si="2"/>
        <v>75000</v>
      </c>
    </row>
    <row r="14" spans="1:11" x14ac:dyDescent="0.25">
      <c r="A14" s="188">
        <v>4</v>
      </c>
      <c r="B14" s="189" t="s">
        <v>1365</v>
      </c>
      <c r="C14" s="225" t="s">
        <v>28</v>
      </c>
      <c r="D14" s="226">
        <v>37</v>
      </c>
      <c r="E14" s="221">
        <v>7</v>
      </c>
      <c r="F14" s="227">
        <v>3000</v>
      </c>
      <c r="G14" s="227">
        <f t="shared" si="0"/>
        <v>777000</v>
      </c>
      <c r="H14" s="268">
        <f t="shared" ref="H14" si="4">G14/589.84</f>
        <v>1317.3063881730639</v>
      </c>
      <c r="I14" s="642">
        <f t="shared" si="1"/>
        <v>23310</v>
      </c>
      <c r="J14" s="642">
        <f>550*D14</f>
        <v>20350</v>
      </c>
      <c r="K14" s="642">
        <f t="shared" si="2"/>
        <v>21000</v>
      </c>
    </row>
    <row r="15" spans="1:11" x14ac:dyDescent="0.25">
      <c r="A15" s="188">
        <v>5</v>
      </c>
      <c r="B15" s="189" t="s">
        <v>1345</v>
      </c>
      <c r="C15" s="225" t="s">
        <v>28</v>
      </c>
      <c r="D15" s="226">
        <v>1</v>
      </c>
      <c r="E15" s="221">
        <v>10</v>
      </c>
      <c r="F15" s="227">
        <v>8000</v>
      </c>
      <c r="G15" s="227">
        <f t="shared" si="0"/>
        <v>80000</v>
      </c>
      <c r="H15" s="268">
        <f t="shared" ref="H15" si="5">G15/589.84</f>
        <v>135.6300013563</v>
      </c>
      <c r="I15" s="642">
        <f t="shared" si="1"/>
        <v>2400</v>
      </c>
      <c r="J15" s="642">
        <f>1600*D15</f>
        <v>1600</v>
      </c>
      <c r="K15" s="642">
        <f t="shared" si="2"/>
        <v>80000</v>
      </c>
    </row>
    <row r="16" spans="1:11" ht="16.5" thickBot="1" x14ac:dyDescent="0.3">
      <c r="A16" s="188">
        <v>6</v>
      </c>
      <c r="B16" s="189" t="s">
        <v>455</v>
      </c>
      <c r="C16" s="225" t="s">
        <v>28</v>
      </c>
      <c r="D16" s="226">
        <v>2</v>
      </c>
      <c r="E16" s="221">
        <v>10</v>
      </c>
      <c r="F16" s="227">
        <v>8000</v>
      </c>
      <c r="G16" s="227">
        <f t="shared" si="0"/>
        <v>160000</v>
      </c>
      <c r="H16" s="268">
        <f t="shared" si="3"/>
        <v>271.2600027126</v>
      </c>
      <c r="I16" s="642">
        <f t="shared" si="1"/>
        <v>4800</v>
      </c>
      <c r="J16" s="642">
        <f>1600*D16</f>
        <v>3200</v>
      </c>
      <c r="K16" s="642">
        <f t="shared" si="2"/>
        <v>80000</v>
      </c>
    </row>
    <row r="17" spans="1:11" ht="18.75" thickBot="1" x14ac:dyDescent="0.3">
      <c r="A17" s="341"/>
      <c r="B17" s="342" t="s">
        <v>1399</v>
      </c>
      <c r="C17" s="343"/>
      <c r="D17" s="343"/>
      <c r="E17" s="343"/>
      <c r="F17" s="344"/>
      <c r="G17" s="344">
        <f>SUM(G11:G16)</f>
        <v>1812000</v>
      </c>
      <c r="H17" s="345">
        <f>SUM(H11:H16)</f>
        <v>3072.0195307201952</v>
      </c>
      <c r="I17" s="263">
        <f>SUM(I11:I16)</f>
        <v>54360</v>
      </c>
      <c r="J17" s="263">
        <f>SUM(J11:J16)</f>
        <v>43750</v>
      </c>
      <c r="K17" s="12"/>
    </row>
    <row r="18" spans="1:11" ht="16.5" thickBot="1" x14ac:dyDescent="0.3">
      <c r="A18" s="188">
        <v>1</v>
      </c>
      <c r="B18" s="189" t="s">
        <v>456</v>
      </c>
      <c r="C18" s="225" t="s">
        <v>28</v>
      </c>
      <c r="D18" s="226">
        <v>8</v>
      </c>
      <c r="E18" s="221">
        <v>10</v>
      </c>
      <c r="F18" s="227">
        <v>7500</v>
      </c>
      <c r="G18" s="227">
        <f t="shared" ref="G18:G23" si="6">D18*E18*F18</f>
        <v>600000</v>
      </c>
      <c r="H18" s="347">
        <f t="shared" si="3"/>
        <v>1017.22501017225</v>
      </c>
      <c r="I18" s="642">
        <f>G18*0.03</f>
        <v>18000</v>
      </c>
      <c r="J18" s="642">
        <f>1600*D18</f>
        <v>12800</v>
      </c>
      <c r="K18" s="642">
        <f>G18/D18</f>
        <v>75000</v>
      </c>
    </row>
    <row r="19" spans="1:11" x14ac:dyDescent="0.25">
      <c r="A19" s="188">
        <v>2</v>
      </c>
      <c r="B19" s="189" t="s">
        <v>457</v>
      </c>
      <c r="C19" s="225" t="s">
        <v>28</v>
      </c>
      <c r="D19" s="226">
        <v>4</v>
      </c>
      <c r="E19" s="221">
        <v>10</v>
      </c>
      <c r="F19" s="227">
        <v>3000</v>
      </c>
      <c r="G19" s="227">
        <f t="shared" si="6"/>
        <v>120000</v>
      </c>
      <c r="H19" s="268">
        <f t="shared" si="3"/>
        <v>203.44500203445</v>
      </c>
      <c r="I19" s="642">
        <f t="shared" ref="I19:I23" si="7">G19*0.03</f>
        <v>3600</v>
      </c>
      <c r="J19" s="642">
        <f>1050*D19</f>
        <v>4200</v>
      </c>
      <c r="K19" s="642">
        <f t="shared" ref="K19:K23" si="8">G19/D19</f>
        <v>30000</v>
      </c>
    </row>
    <row r="20" spans="1:11" ht="28.5" x14ac:dyDescent="0.25">
      <c r="A20" s="188">
        <v>3</v>
      </c>
      <c r="B20" s="189" t="s">
        <v>458</v>
      </c>
      <c r="C20" s="225" t="s">
        <v>28</v>
      </c>
      <c r="D20" s="226">
        <v>1</v>
      </c>
      <c r="E20" s="221">
        <v>10</v>
      </c>
      <c r="F20" s="227">
        <v>7500</v>
      </c>
      <c r="G20" s="227">
        <f t="shared" si="6"/>
        <v>75000</v>
      </c>
      <c r="H20" s="268">
        <f t="shared" si="3"/>
        <v>127.15312627153125</v>
      </c>
      <c r="I20" s="642">
        <f t="shared" si="7"/>
        <v>2250</v>
      </c>
      <c r="J20" s="642">
        <f>1600*D20</f>
        <v>1600</v>
      </c>
      <c r="K20" s="642">
        <f t="shared" si="8"/>
        <v>75000</v>
      </c>
    </row>
    <row r="21" spans="1:11" x14ac:dyDescent="0.25">
      <c r="A21" s="188">
        <v>4</v>
      </c>
      <c r="B21" s="189" t="s">
        <v>1365</v>
      </c>
      <c r="C21" s="225" t="s">
        <v>28</v>
      </c>
      <c r="D21" s="226">
        <v>26</v>
      </c>
      <c r="E21" s="221">
        <v>7</v>
      </c>
      <c r="F21" s="227">
        <v>3000</v>
      </c>
      <c r="G21" s="227">
        <f t="shared" si="6"/>
        <v>546000</v>
      </c>
      <c r="H21" s="268">
        <f t="shared" si="3"/>
        <v>925.67475925674751</v>
      </c>
      <c r="I21" s="642">
        <f t="shared" si="7"/>
        <v>16380</v>
      </c>
      <c r="J21" s="642">
        <f>550*D21</f>
        <v>14300</v>
      </c>
      <c r="K21" s="642">
        <f t="shared" si="8"/>
        <v>21000</v>
      </c>
    </row>
    <row r="22" spans="1:11" x14ac:dyDescent="0.25">
      <c r="A22" s="188">
        <v>5</v>
      </c>
      <c r="B22" s="189" t="s">
        <v>1345</v>
      </c>
      <c r="C22" s="225" t="s">
        <v>28</v>
      </c>
      <c r="D22" s="226">
        <v>1</v>
      </c>
      <c r="E22" s="221">
        <v>10</v>
      </c>
      <c r="F22" s="227">
        <v>8000</v>
      </c>
      <c r="G22" s="227">
        <f t="shared" si="6"/>
        <v>80000</v>
      </c>
      <c r="H22" s="268">
        <f t="shared" ref="H22" si="9">G22/589.84</f>
        <v>135.6300013563</v>
      </c>
      <c r="I22" s="642">
        <f t="shared" si="7"/>
        <v>2400</v>
      </c>
      <c r="J22" s="642">
        <f>1600*D22</f>
        <v>1600</v>
      </c>
      <c r="K22" s="642">
        <f t="shared" si="8"/>
        <v>80000</v>
      </c>
    </row>
    <row r="23" spans="1:11" ht="16.5" thickBot="1" x14ac:dyDescent="0.3">
      <c r="A23" s="188">
        <v>6</v>
      </c>
      <c r="B23" s="189" t="s">
        <v>459</v>
      </c>
      <c r="C23" s="225" t="s">
        <v>28</v>
      </c>
      <c r="D23" s="226">
        <v>1</v>
      </c>
      <c r="E23" s="221">
        <v>10</v>
      </c>
      <c r="F23" s="227">
        <v>8000</v>
      </c>
      <c r="G23" s="227">
        <f t="shared" si="6"/>
        <v>80000</v>
      </c>
      <c r="H23" s="268">
        <f t="shared" si="3"/>
        <v>135.6300013563</v>
      </c>
      <c r="I23" s="642">
        <f t="shared" si="7"/>
        <v>2400</v>
      </c>
      <c r="J23" s="642">
        <f>1600*D23</f>
        <v>1600</v>
      </c>
      <c r="K23" s="642">
        <f t="shared" si="8"/>
        <v>80000</v>
      </c>
    </row>
    <row r="24" spans="1:11" ht="18.75" thickBot="1" x14ac:dyDescent="0.3">
      <c r="A24" s="341"/>
      <c r="B24" s="342" t="s">
        <v>1399</v>
      </c>
      <c r="C24" s="343"/>
      <c r="D24" s="343"/>
      <c r="E24" s="343"/>
      <c r="F24" s="344"/>
      <c r="G24" s="344">
        <f>SUM(G18:G23)</f>
        <v>1501000</v>
      </c>
      <c r="H24" s="345">
        <f>SUM(H18:H23)</f>
        <v>2544.7579004475788</v>
      </c>
      <c r="I24" s="263">
        <f>SUM(I18:I23)</f>
        <v>45030</v>
      </c>
      <c r="J24" s="263">
        <f>SUM(J18:J23)</f>
        <v>36100</v>
      </c>
      <c r="K24" s="12"/>
    </row>
    <row r="25" spans="1:11" ht="16.5" thickBot="1" x14ac:dyDescent="0.3">
      <c r="A25" s="188">
        <v>1</v>
      </c>
      <c r="B25" s="189" t="s">
        <v>460</v>
      </c>
      <c r="C25" s="225" t="s">
        <v>28</v>
      </c>
      <c r="D25" s="226">
        <v>12</v>
      </c>
      <c r="E25" s="221">
        <v>10</v>
      </c>
      <c r="F25" s="227">
        <v>7500</v>
      </c>
      <c r="G25" s="227">
        <f t="shared" ref="G25:G30" si="10">D25*E25*F25</f>
        <v>900000</v>
      </c>
      <c r="H25" s="347">
        <f t="shared" si="3"/>
        <v>1525.8375152583751</v>
      </c>
      <c r="I25" s="642">
        <f>G25*0.03</f>
        <v>27000</v>
      </c>
      <c r="J25" s="642">
        <f>1600*D25</f>
        <v>19200</v>
      </c>
      <c r="K25" s="642">
        <f>G25/D25</f>
        <v>75000</v>
      </c>
    </row>
    <row r="26" spans="1:11" x14ac:dyDescent="0.25">
      <c r="A26" s="188">
        <v>2</v>
      </c>
      <c r="B26" s="189" t="s">
        <v>461</v>
      </c>
      <c r="C26" s="225" t="s">
        <v>28</v>
      </c>
      <c r="D26" s="226">
        <v>6</v>
      </c>
      <c r="E26" s="221">
        <v>10</v>
      </c>
      <c r="F26" s="227">
        <v>3000</v>
      </c>
      <c r="G26" s="227">
        <f t="shared" si="10"/>
        <v>180000</v>
      </c>
      <c r="H26" s="268">
        <f t="shared" si="3"/>
        <v>305.167503051675</v>
      </c>
      <c r="I26" s="642">
        <f t="shared" ref="I26:I30" si="11">G26*0.03</f>
        <v>5400</v>
      </c>
      <c r="J26" s="642">
        <f>1050*D26</f>
        <v>6300</v>
      </c>
      <c r="K26" s="642">
        <f t="shared" ref="K26:K30" si="12">G26/D26</f>
        <v>30000</v>
      </c>
    </row>
    <row r="27" spans="1:11" ht="28.5" x14ac:dyDescent="0.25">
      <c r="A27" s="188">
        <v>3</v>
      </c>
      <c r="B27" s="189" t="s">
        <v>462</v>
      </c>
      <c r="C27" s="225" t="s">
        <v>28</v>
      </c>
      <c r="D27" s="226">
        <v>1</v>
      </c>
      <c r="E27" s="221">
        <v>10</v>
      </c>
      <c r="F27" s="227">
        <v>7500</v>
      </c>
      <c r="G27" s="227">
        <f t="shared" si="10"/>
        <v>75000</v>
      </c>
      <c r="H27" s="268">
        <f t="shared" si="3"/>
        <v>127.15312627153125</v>
      </c>
      <c r="I27" s="642">
        <f t="shared" si="11"/>
        <v>2250</v>
      </c>
      <c r="J27" s="642">
        <f>1600*D27</f>
        <v>1600</v>
      </c>
      <c r="K27" s="642">
        <f t="shared" si="12"/>
        <v>75000</v>
      </c>
    </row>
    <row r="28" spans="1:11" x14ac:dyDescent="0.25">
      <c r="A28" s="188">
        <v>4</v>
      </c>
      <c r="B28" s="189" t="s">
        <v>1365</v>
      </c>
      <c r="C28" s="225" t="s">
        <v>28</v>
      </c>
      <c r="D28" s="226">
        <v>31</v>
      </c>
      <c r="E28" s="221">
        <v>7</v>
      </c>
      <c r="F28" s="227">
        <v>3000</v>
      </c>
      <c r="G28" s="227">
        <f t="shared" si="10"/>
        <v>651000</v>
      </c>
      <c r="H28" s="268">
        <f t="shared" si="3"/>
        <v>1103.6891360368913</v>
      </c>
      <c r="I28" s="642">
        <f t="shared" si="11"/>
        <v>19530</v>
      </c>
      <c r="J28" s="642">
        <f>550*D28</f>
        <v>17050</v>
      </c>
      <c r="K28" s="642">
        <f t="shared" si="12"/>
        <v>21000</v>
      </c>
    </row>
    <row r="29" spans="1:11" x14ac:dyDescent="0.25">
      <c r="A29" s="188">
        <v>5</v>
      </c>
      <c r="B29" s="189" t="s">
        <v>1345</v>
      </c>
      <c r="C29" s="225" t="s">
        <v>28</v>
      </c>
      <c r="D29" s="226">
        <v>1</v>
      </c>
      <c r="E29" s="221">
        <v>10</v>
      </c>
      <c r="F29" s="227">
        <v>8000</v>
      </c>
      <c r="G29" s="227">
        <f t="shared" si="10"/>
        <v>80000</v>
      </c>
      <c r="H29" s="268">
        <f t="shared" ref="H29" si="13">G29/589.84</f>
        <v>135.6300013563</v>
      </c>
      <c r="I29" s="642">
        <f t="shared" si="11"/>
        <v>2400</v>
      </c>
      <c r="J29" s="642">
        <f>1600*D29</f>
        <v>1600</v>
      </c>
      <c r="K29" s="642">
        <f t="shared" si="12"/>
        <v>80000</v>
      </c>
    </row>
    <row r="30" spans="1:11" ht="16.5" thickBot="1" x14ac:dyDescent="0.3">
      <c r="A30" s="188">
        <v>6</v>
      </c>
      <c r="B30" s="189" t="s">
        <v>463</v>
      </c>
      <c r="C30" s="225" t="s">
        <v>28</v>
      </c>
      <c r="D30" s="226">
        <v>2</v>
      </c>
      <c r="E30" s="221">
        <v>10</v>
      </c>
      <c r="F30" s="227">
        <v>8000</v>
      </c>
      <c r="G30" s="227">
        <f t="shared" si="10"/>
        <v>160000</v>
      </c>
      <c r="H30" s="268">
        <f t="shared" si="3"/>
        <v>271.2600027126</v>
      </c>
      <c r="I30" s="642">
        <f t="shared" si="11"/>
        <v>4800</v>
      </c>
      <c r="J30" s="642">
        <f>1600*D30</f>
        <v>3200</v>
      </c>
      <c r="K30" s="642">
        <f t="shared" si="12"/>
        <v>80000</v>
      </c>
    </row>
    <row r="31" spans="1:11" ht="18.75" thickBot="1" x14ac:dyDescent="0.3">
      <c r="A31" s="341"/>
      <c r="B31" s="342" t="s">
        <v>1399</v>
      </c>
      <c r="C31" s="343"/>
      <c r="D31" s="343"/>
      <c r="E31" s="343"/>
      <c r="F31" s="344"/>
      <c r="G31" s="344">
        <f>SUM(G25:G30)</f>
        <v>2046000</v>
      </c>
      <c r="H31" s="345">
        <f>SUM(H25:H30)</f>
        <v>3468.7372846873727</v>
      </c>
      <c r="I31" s="263">
        <f>SUM(I25:I30)</f>
        <v>61380</v>
      </c>
      <c r="J31" s="263">
        <f>SUM(J25:J30)</f>
        <v>48950</v>
      </c>
      <c r="K31" s="12"/>
    </row>
    <row r="32" spans="1:11" ht="16.5" thickBot="1" x14ac:dyDescent="0.3">
      <c r="A32" s="188">
        <v>1</v>
      </c>
      <c r="B32" s="189" t="s">
        <v>464</v>
      </c>
      <c r="C32" s="225" t="s">
        <v>28</v>
      </c>
      <c r="D32" s="226">
        <v>12</v>
      </c>
      <c r="E32" s="221">
        <v>10</v>
      </c>
      <c r="F32" s="227">
        <v>7500</v>
      </c>
      <c r="G32" s="227">
        <f t="shared" ref="G32:G37" si="14">D32*E32*F32</f>
        <v>900000</v>
      </c>
      <c r="H32" s="347">
        <f t="shared" si="3"/>
        <v>1525.8375152583751</v>
      </c>
      <c r="I32" s="642">
        <f>G32*0.03</f>
        <v>27000</v>
      </c>
      <c r="J32" s="642">
        <f>1600*D32</f>
        <v>19200</v>
      </c>
      <c r="K32" s="642">
        <f>G32/D32</f>
        <v>75000</v>
      </c>
    </row>
    <row r="33" spans="1:11" x14ac:dyDescent="0.25">
      <c r="A33" s="188">
        <v>2</v>
      </c>
      <c r="B33" s="189" t="s">
        <v>465</v>
      </c>
      <c r="C33" s="225" t="s">
        <v>28</v>
      </c>
      <c r="D33" s="226">
        <v>6</v>
      </c>
      <c r="E33" s="221">
        <v>10</v>
      </c>
      <c r="F33" s="227">
        <v>3000</v>
      </c>
      <c r="G33" s="227">
        <f t="shared" si="14"/>
        <v>180000</v>
      </c>
      <c r="H33" s="268">
        <f t="shared" si="3"/>
        <v>305.167503051675</v>
      </c>
      <c r="I33" s="642">
        <f t="shared" ref="I33:I37" si="15">G33*0.03</f>
        <v>5400</v>
      </c>
      <c r="J33" s="642">
        <f>1050*D33</f>
        <v>6300</v>
      </c>
      <c r="K33" s="642">
        <f t="shared" ref="K33:K37" si="16">G33/D33</f>
        <v>30000</v>
      </c>
    </row>
    <row r="34" spans="1:11" ht="28.5" x14ac:dyDescent="0.25">
      <c r="A34" s="188">
        <v>3</v>
      </c>
      <c r="B34" s="189" t="s">
        <v>466</v>
      </c>
      <c r="C34" s="225" t="s">
        <v>28</v>
      </c>
      <c r="D34" s="226">
        <v>1</v>
      </c>
      <c r="E34" s="221">
        <v>10</v>
      </c>
      <c r="F34" s="227">
        <v>7500</v>
      </c>
      <c r="G34" s="227">
        <f t="shared" si="14"/>
        <v>75000</v>
      </c>
      <c r="H34" s="268">
        <f t="shared" si="3"/>
        <v>127.15312627153125</v>
      </c>
      <c r="I34" s="642">
        <f t="shared" si="15"/>
        <v>2250</v>
      </c>
      <c r="J34" s="642">
        <f>1600*D34</f>
        <v>1600</v>
      </c>
      <c r="K34" s="642">
        <f t="shared" si="16"/>
        <v>75000</v>
      </c>
    </row>
    <row r="35" spans="1:11" x14ac:dyDescent="0.25">
      <c r="A35" s="188">
        <v>4</v>
      </c>
      <c r="B35" s="189" t="s">
        <v>1365</v>
      </c>
      <c r="C35" s="225" t="s">
        <v>28</v>
      </c>
      <c r="D35" s="226">
        <v>28</v>
      </c>
      <c r="E35" s="221">
        <v>7</v>
      </c>
      <c r="F35" s="227">
        <v>3000</v>
      </c>
      <c r="G35" s="227">
        <f t="shared" si="14"/>
        <v>588000</v>
      </c>
      <c r="H35" s="268">
        <f t="shared" si="3"/>
        <v>996.88050996880509</v>
      </c>
      <c r="I35" s="642">
        <f t="shared" si="15"/>
        <v>17640</v>
      </c>
      <c r="J35" s="642">
        <f>550*D35</f>
        <v>15400</v>
      </c>
      <c r="K35" s="642">
        <f t="shared" si="16"/>
        <v>21000</v>
      </c>
    </row>
    <row r="36" spans="1:11" x14ac:dyDescent="0.25">
      <c r="A36" s="188">
        <v>5</v>
      </c>
      <c r="B36" s="189" t="s">
        <v>1345</v>
      </c>
      <c r="C36" s="225" t="s">
        <v>28</v>
      </c>
      <c r="D36" s="226">
        <v>1</v>
      </c>
      <c r="E36" s="221">
        <v>10</v>
      </c>
      <c r="F36" s="227">
        <v>8000</v>
      </c>
      <c r="G36" s="227">
        <f t="shared" si="14"/>
        <v>80000</v>
      </c>
      <c r="H36" s="268">
        <f t="shared" ref="H36" si="17">G36/589.84</f>
        <v>135.6300013563</v>
      </c>
      <c r="I36" s="642">
        <f t="shared" si="15"/>
        <v>2400</v>
      </c>
      <c r="J36" s="642">
        <f>1600*D36</f>
        <v>1600</v>
      </c>
      <c r="K36" s="642">
        <f t="shared" si="16"/>
        <v>80000</v>
      </c>
    </row>
    <row r="37" spans="1:11" ht="16.5" thickBot="1" x14ac:dyDescent="0.3">
      <c r="A37" s="188">
        <v>6</v>
      </c>
      <c r="B37" s="189" t="s">
        <v>467</v>
      </c>
      <c r="C37" s="225" t="s">
        <v>28</v>
      </c>
      <c r="D37" s="226">
        <v>2</v>
      </c>
      <c r="E37" s="221">
        <v>10</v>
      </c>
      <c r="F37" s="227">
        <v>8000</v>
      </c>
      <c r="G37" s="227">
        <f t="shared" si="14"/>
        <v>160000</v>
      </c>
      <c r="H37" s="268">
        <f t="shared" si="3"/>
        <v>271.2600027126</v>
      </c>
      <c r="I37" s="642">
        <f t="shared" si="15"/>
        <v>4800</v>
      </c>
      <c r="J37" s="642">
        <f>1600*D37</f>
        <v>3200</v>
      </c>
      <c r="K37" s="642">
        <f t="shared" si="16"/>
        <v>80000</v>
      </c>
    </row>
    <row r="38" spans="1:11" ht="18.75" thickBot="1" x14ac:dyDescent="0.3">
      <c r="A38" s="341"/>
      <c r="B38" s="342" t="s">
        <v>1399</v>
      </c>
      <c r="C38" s="343"/>
      <c r="D38" s="343"/>
      <c r="E38" s="343"/>
      <c r="F38" s="344"/>
      <c r="G38" s="344">
        <f>SUM(G32:G37)</f>
        <v>1983000</v>
      </c>
      <c r="H38" s="345">
        <f>SUM(H32:H37)</f>
        <v>3361.9286586192866</v>
      </c>
      <c r="I38" s="263">
        <f>SUM(I32:I37)</f>
        <v>59490</v>
      </c>
      <c r="J38" s="263">
        <f>SUM(J32:J37)</f>
        <v>47300</v>
      </c>
      <c r="K38" s="12"/>
    </row>
    <row r="39" spans="1:11" ht="16.5" thickBot="1" x14ac:dyDescent="0.3">
      <c r="A39" s="188">
        <v>1</v>
      </c>
      <c r="B39" s="189" t="s">
        <v>468</v>
      </c>
      <c r="C39" s="225" t="s">
        <v>28</v>
      </c>
      <c r="D39" s="226">
        <v>8</v>
      </c>
      <c r="E39" s="221">
        <v>10</v>
      </c>
      <c r="F39" s="227">
        <v>7500</v>
      </c>
      <c r="G39" s="227">
        <f t="shared" ref="G39:G44" si="18">D39*E39*F39</f>
        <v>600000</v>
      </c>
      <c r="H39" s="347">
        <f t="shared" si="3"/>
        <v>1017.22501017225</v>
      </c>
      <c r="I39" s="642">
        <f>G39*0.03</f>
        <v>18000</v>
      </c>
      <c r="J39" s="642">
        <f>1600*D39</f>
        <v>12800</v>
      </c>
      <c r="K39" s="642">
        <f>G39/D39</f>
        <v>75000</v>
      </c>
    </row>
    <row r="40" spans="1:11" x14ac:dyDescent="0.25">
      <c r="A40" s="188">
        <v>2</v>
      </c>
      <c r="B40" s="189" t="s">
        <v>469</v>
      </c>
      <c r="C40" s="225" t="s">
        <v>28</v>
      </c>
      <c r="D40" s="226">
        <v>4</v>
      </c>
      <c r="E40" s="221">
        <v>10</v>
      </c>
      <c r="F40" s="227">
        <v>3000</v>
      </c>
      <c r="G40" s="227">
        <f t="shared" si="18"/>
        <v>120000</v>
      </c>
      <c r="H40" s="268">
        <f t="shared" si="3"/>
        <v>203.44500203445</v>
      </c>
      <c r="I40" s="642">
        <f t="shared" ref="I40:I44" si="19">G40*0.03</f>
        <v>3600</v>
      </c>
      <c r="J40" s="642">
        <f>1050*D40</f>
        <v>4200</v>
      </c>
      <c r="K40" s="642">
        <f t="shared" ref="K40:K44" si="20">G40/D40</f>
        <v>30000</v>
      </c>
    </row>
    <row r="41" spans="1:11" ht="28.5" x14ac:dyDescent="0.25">
      <c r="A41" s="188">
        <v>3</v>
      </c>
      <c r="B41" s="189" t="s">
        <v>470</v>
      </c>
      <c r="C41" s="225" t="s">
        <v>28</v>
      </c>
      <c r="D41" s="226">
        <v>1</v>
      </c>
      <c r="E41" s="221">
        <v>10</v>
      </c>
      <c r="F41" s="227">
        <v>7500</v>
      </c>
      <c r="G41" s="227">
        <f t="shared" si="18"/>
        <v>75000</v>
      </c>
      <c r="H41" s="268">
        <f t="shared" si="3"/>
        <v>127.15312627153125</v>
      </c>
      <c r="I41" s="642">
        <f t="shared" si="19"/>
        <v>2250</v>
      </c>
      <c r="J41" s="642">
        <f>1600*D41</f>
        <v>1600</v>
      </c>
      <c r="K41" s="642">
        <f t="shared" si="20"/>
        <v>75000</v>
      </c>
    </row>
    <row r="42" spans="1:11" x14ac:dyDescent="0.25">
      <c r="A42" s="188">
        <v>4</v>
      </c>
      <c r="B42" s="189" t="s">
        <v>1365</v>
      </c>
      <c r="C42" s="225" t="s">
        <v>28</v>
      </c>
      <c r="D42" s="226">
        <v>25</v>
      </c>
      <c r="E42" s="221">
        <v>7</v>
      </c>
      <c r="F42" s="227">
        <v>3000</v>
      </c>
      <c r="G42" s="227">
        <f t="shared" si="18"/>
        <v>525000</v>
      </c>
      <c r="H42" s="268">
        <f t="shared" si="3"/>
        <v>890.07188390071883</v>
      </c>
      <c r="I42" s="642">
        <f t="shared" si="19"/>
        <v>15750</v>
      </c>
      <c r="J42" s="642">
        <f>550*D42</f>
        <v>13750</v>
      </c>
      <c r="K42" s="642">
        <f t="shared" si="20"/>
        <v>21000</v>
      </c>
    </row>
    <row r="43" spans="1:11" x14ac:dyDescent="0.25">
      <c r="A43" s="188">
        <v>5</v>
      </c>
      <c r="B43" s="189" t="s">
        <v>1345</v>
      </c>
      <c r="C43" s="225" t="s">
        <v>28</v>
      </c>
      <c r="D43" s="226">
        <v>1</v>
      </c>
      <c r="E43" s="221">
        <v>10</v>
      </c>
      <c r="F43" s="227">
        <v>8000</v>
      </c>
      <c r="G43" s="227">
        <f t="shared" si="18"/>
        <v>80000</v>
      </c>
      <c r="H43" s="268">
        <f t="shared" ref="H43" si="21">G43/589.84</f>
        <v>135.6300013563</v>
      </c>
      <c r="I43" s="642">
        <f t="shared" si="19"/>
        <v>2400</v>
      </c>
      <c r="J43" s="642">
        <f>1600*D43</f>
        <v>1600</v>
      </c>
      <c r="K43" s="642">
        <f t="shared" si="20"/>
        <v>80000</v>
      </c>
    </row>
    <row r="44" spans="1:11" ht="16.5" thickBot="1" x14ac:dyDescent="0.3">
      <c r="A44" s="188">
        <v>6</v>
      </c>
      <c r="B44" s="189" t="s">
        <v>471</v>
      </c>
      <c r="C44" s="225" t="s">
        <v>28</v>
      </c>
      <c r="D44" s="226">
        <v>1</v>
      </c>
      <c r="E44" s="221">
        <v>10</v>
      </c>
      <c r="F44" s="227">
        <v>8000</v>
      </c>
      <c r="G44" s="227">
        <f t="shared" si="18"/>
        <v>80000</v>
      </c>
      <c r="H44" s="268">
        <f t="shared" si="3"/>
        <v>135.6300013563</v>
      </c>
      <c r="I44" s="642">
        <f t="shared" si="19"/>
        <v>2400</v>
      </c>
      <c r="J44" s="642">
        <f>1600*D44</f>
        <v>1600</v>
      </c>
      <c r="K44" s="642">
        <f t="shared" si="20"/>
        <v>80000</v>
      </c>
    </row>
    <row r="45" spans="1:11" ht="18.75" thickBot="1" x14ac:dyDescent="0.3">
      <c r="A45" s="341"/>
      <c r="B45" s="342" t="s">
        <v>1399</v>
      </c>
      <c r="C45" s="343"/>
      <c r="D45" s="343"/>
      <c r="E45" s="343"/>
      <c r="F45" s="344"/>
      <c r="G45" s="344">
        <f>SUM(G39:G44)</f>
        <v>1480000</v>
      </c>
      <c r="H45" s="345">
        <f>SUM(H39:H44)</f>
        <v>2509.1550250915498</v>
      </c>
      <c r="I45" s="263">
        <f>SUM(I39:I44)</f>
        <v>44400</v>
      </c>
      <c r="J45" s="263">
        <f>SUM(J39:J44)</f>
        <v>35550</v>
      </c>
      <c r="K45" s="12"/>
    </row>
    <row r="46" spans="1:11" ht="16.5" thickBot="1" x14ac:dyDescent="0.3">
      <c r="A46" s="188">
        <v>1</v>
      </c>
      <c r="B46" s="189" t="s">
        <v>472</v>
      </c>
      <c r="C46" s="225" t="s">
        <v>28</v>
      </c>
      <c r="D46" s="226">
        <v>14</v>
      </c>
      <c r="E46" s="221">
        <v>10</v>
      </c>
      <c r="F46" s="227">
        <v>7500</v>
      </c>
      <c r="G46" s="227">
        <f t="shared" ref="G46:G51" si="22">D46*E46*F46</f>
        <v>1050000</v>
      </c>
      <c r="H46" s="347">
        <f t="shared" si="3"/>
        <v>1780.1437678014377</v>
      </c>
      <c r="I46" s="642">
        <f>G46*0.03</f>
        <v>31500</v>
      </c>
      <c r="J46" s="642">
        <f>1600*D46</f>
        <v>22400</v>
      </c>
      <c r="K46" s="642">
        <f>G46/D46</f>
        <v>75000</v>
      </c>
    </row>
    <row r="47" spans="1:11" x14ac:dyDescent="0.25">
      <c r="A47" s="188">
        <v>2</v>
      </c>
      <c r="B47" s="189" t="s">
        <v>474</v>
      </c>
      <c r="C47" s="225" t="s">
        <v>28</v>
      </c>
      <c r="D47" s="226">
        <v>7</v>
      </c>
      <c r="E47" s="221">
        <v>10</v>
      </c>
      <c r="F47" s="227">
        <v>3000</v>
      </c>
      <c r="G47" s="227">
        <f t="shared" si="22"/>
        <v>210000</v>
      </c>
      <c r="H47" s="268">
        <f t="shared" si="3"/>
        <v>356.0287535602875</v>
      </c>
      <c r="I47" s="642">
        <f t="shared" ref="I47:I51" si="23">G47*0.03</f>
        <v>6300</v>
      </c>
      <c r="J47" s="642">
        <f>1050*D47</f>
        <v>7350</v>
      </c>
      <c r="K47" s="642">
        <f t="shared" ref="K47:K51" si="24">G47/D47</f>
        <v>30000</v>
      </c>
    </row>
    <row r="48" spans="1:11" ht="28.5" x14ac:dyDescent="0.25">
      <c r="A48" s="188">
        <v>3</v>
      </c>
      <c r="B48" s="189" t="s">
        <v>475</v>
      </c>
      <c r="C48" s="225" t="s">
        <v>28</v>
      </c>
      <c r="D48" s="226">
        <v>1</v>
      </c>
      <c r="E48" s="221">
        <v>10</v>
      </c>
      <c r="F48" s="227">
        <v>7500</v>
      </c>
      <c r="G48" s="227">
        <f t="shared" si="22"/>
        <v>75000</v>
      </c>
      <c r="H48" s="268">
        <f t="shared" si="3"/>
        <v>127.15312627153125</v>
      </c>
      <c r="I48" s="642">
        <f t="shared" si="23"/>
        <v>2250</v>
      </c>
      <c r="J48" s="642">
        <f>1600*D48</f>
        <v>1600</v>
      </c>
      <c r="K48" s="642">
        <f t="shared" si="24"/>
        <v>75000</v>
      </c>
    </row>
    <row r="49" spans="1:11" x14ac:dyDescent="0.25">
      <c r="A49" s="188">
        <v>4</v>
      </c>
      <c r="B49" s="189" t="s">
        <v>1365</v>
      </c>
      <c r="C49" s="225" t="s">
        <v>28</v>
      </c>
      <c r="D49" s="226">
        <v>27</v>
      </c>
      <c r="E49" s="221">
        <v>7</v>
      </c>
      <c r="F49" s="227">
        <v>3000</v>
      </c>
      <c r="G49" s="227">
        <f t="shared" si="22"/>
        <v>567000</v>
      </c>
      <c r="H49" s="268">
        <f t="shared" si="3"/>
        <v>961.2776346127763</v>
      </c>
      <c r="I49" s="642">
        <f t="shared" si="23"/>
        <v>17010</v>
      </c>
      <c r="J49" s="642">
        <f>550*D49</f>
        <v>14850</v>
      </c>
      <c r="K49" s="642">
        <f t="shared" si="24"/>
        <v>21000</v>
      </c>
    </row>
    <row r="50" spans="1:11" x14ac:dyDescent="0.25">
      <c r="A50" s="188">
        <v>5</v>
      </c>
      <c r="B50" s="189" t="s">
        <v>1345</v>
      </c>
      <c r="C50" s="225" t="s">
        <v>28</v>
      </c>
      <c r="D50" s="226">
        <v>1</v>
      </c>
      <c r="E50" s="221">
        <v>10</v>
      </c>
      <c r="F50" s="227">
        <v>8000</v>
      </c>
      <c r="G50" s="227">
        <f t="shared" si="22"/>
        <v>80000</v>
      </c>
      <c r="H50" s="268">
        <f t="shared" ref="H50" si="25">G50/589.84</f>
        <v>135.6300013563</v>
      </c>
      <c r="I50" s="642">
        <f t="shared" si="23"/>
        <v>2400</v>
      </c>
      <c r="J50" s="642">
        <f>1600*D50</f>
        <v>1600</v>
      </c>
      <c r="K50" s="642">
        <f t="shared" si="24"/>
        <v>80000</v>
      </c>
    </row>
    <row r="51" spans="1:11" ht="16.5" thickBot="1" x14ac:dyDescent="0.3">
      <c r="A51" s="188">
        <v>6</v>
      </c>
      <c r="B51" s="189" t="s">
        <v>473</v>
      </c>
      <c r="C51" s="225" t="s">
        <v>28</v>
      </c>
      <c r="D51" s="226">
        <v>2</v>
      </c>
      <c r="E51" s="221">
        <v>10</v>
      </c>
      <c r="F51" s="227">
        <v>8000</v>
      </c>
      <c r="G51" s="227">
        <f t="shared" si="22"/>
        <v>160000</v>
      </c>
      <c r="H51" s="268">
        <f t="shared" si="3"/>
        <v>271.2600027126</v>
      </c>
      <c r="I51" s="642">
        <f t="shared" si="23"/>
        <v>4800</v>
      </c>
      <c r="J51" s="642">
        <f>1600*D51</f>
        <v>3200</v>
      </c>
      <c r="K51" s="642">
        <f t="shared" si="24"/>
        <v>80000</v>
      </c>
    </row>
    <row r="52" spans="1:11" ht="18.75" thickBot="1" x14ac:dyDescent="0.3">
      <c r="A52" s="341"/>
      <c r="B52" s="342" t="s">
        <v>1399</v>
      </c>
      <c r="C52" s="343"/>
      <c r="D52" s="343"/>
      <c r="E52" s="343"/>
      <c r="F52" s="344"/>
      <c r="G52" s="344">
        <f>SUM(G46:G51)</f>
        <v>2142000</v>
      </c>
      <c r="H52" s="345">
        <f>SUM(H46:H51)</f>
        <v>3631.4932863149324</v>
      </c>
      <c r="I52" s="263">
        <f>SUM(I46:I51)</f>
        <v>64260</v>
      </c>
      <c r="J52" s="263">
        <f>SUM(J46:J51)</f>
        <v>51000</v>
      </c>
      <c r="K52" s="12"/>
    </row>
    <row r="53" spans="1:11" ht="16.5" thickBot="1" x14ac:dyDescent="0.3">
      <c r="A53" s="188">
        <v>1</v>
      </c>
      <c r="B53" s="189" t="s">
        <v>476</v>
      </c>
      <c r="C53" s="225" t="s">
        <v>28</v>
      </c>
      <c r="D53" s="226">
        <v>4</v>
      </c>
      <c r="E53" s="221">
        <v>10</v>
      </c>
      <c r="F53" s="227">
        <v>7500</v>
      </c>
      <c r="G53" s="227">
        <f t="shared" ref="G53:G58" si="26">D53*E53*F53</f>
        <v>300000</v>
      </c>
      <c r="H53" s="347">
        <f t="shared" si="3"/>
        <v>508.612505086125</v>
      </c>
      <c r="I53" s="642">
        <f>G53*0.03</f>
        <v>9000</v>
      </c>
      <c r="J53" s="642">
        <f>1600*D53</f>
        <v>6400</v>
      </c>
      <c r="K53" s="642">
        <f>G53/D53</f>
        <v>75000</v>
      </c>
    </row>
    <row r="54" spans="1:11" x14ac:dyDescent="0.25">
      <c r="A54" s="188">
        <v>2</v>
      </c>
      <c r="B54" s="189" t="s">
        <v>477</v>
      </c>
      <c r="C54" s="225" t="s">
        <v>28</v>
      </c>
      <c r="D54" s="226">
        <v>2</v>
      </c>
      <c r="E54" s="221">
        <v>10</v>
      </c>
      <c r="F54" s="227">
        <v>3000</v>
      </c>
      <c r="G54" s="227">
        <f t="shared" si="26"/>
        <v>60000</v>
      </c>
      <c r="H54" s="268">
        <f t="shared" si="3"/>
        <v>101.722501017225</v>
      </c>
      <c r="I54" s="642">
        <f t="shared" ref="I54:I58" si="27">G54*0.03</f>
        <v>1800</v>
      </c>
      <c r="J54" s="642">
        <f>1050*D54</f>
        <v>2100</v>
      </c>
      <c r="K54" s="642">
        <f t="shared" ref="K54:K58" si="28">G54/D54</f>
        <v>30000</v>
      </c>
    </row>
    <row r="55" spans="1:11" ht="28.5" x14ac:dyDescent="0.25">
      <c r="A55" s="188">
        <v>3</v>
      </c>
      <c r="B55" s="189" t="s">
        <v>478</v>
      </c>
      <c r="C55" s="225" t="s">
        <v>28</v>
      </c>
      <c r="D55" s="226">
        <v>1</v>
      </c>
      <c r="E55" s="221">
        <v>10</v>
      </c>
      <c r="F55" s="227">
        <v>7500</v>
      </c>
      <c r="G55" s="227">
        <f t="shared" si="26"/>
        <v>75000</v>
      </c>
      <c r="H55" s="268">
        <f t="shared" si="3"/>
        <v>127.15312627153125</v>
      </c>
      <c r="I55" s="642">
        <f t="shared" si="27"/>
        <v>2250</v>
      </c>
      <c r="J55" s="642">
        <f>1600*D55</f>
        <v>1600</v>
      </c>
      <c r="K55" s="642">
        <f t="shared" si="28"/>
        <v>75000</v>
      </c>
    </row>
    <row r="56" spans="1:11" x14ac:dyDescent="0.25">
      <c r="A56" s="188">
        <v>4</v>
      </c>
      <c r="B56" s="189" t="s">
        <v>1365</v>
      </c>
      <c r="C56" s="225" t="s">
        <v>28</v>
      </c>
      <c r="D56" s="226">
        <v>16</v>
      </c>
      <c r="E56" s="221">
        <v>7</v>
      </c>
      <c r="F56" s="227">
        <v>3000</v>
      </c>
      <c r="G56" s="227">
        <f t="shared" si="26"/>
        <v>336000</v>
      </c>
      <c r="H56" s="268">
        <f t="shared" si="3"/>
        <v>569.64600569646007</v>
      </c>
      <c r="I56" s="642">
        <f t="shared" si="27"/>
        <v>10080</v>
      </c>
      <c r="J56" s="642">
        <f>550*D56</f>
        <v>8800</v>
      </c>
      <c r="K56" s="642">
        <f t="shared" si="28"/>
        <v>21000</v>
      </c>
    </row>
    <row r="57" spans="1:11" x14ac:dyDescent="0.25">
      <c r="A57" s="188">
        <v>5</v>
      </c>
      <c r="B57" s="189" t="s">
        <v>1345</v>
      </c>
      <c r="C57" s="225" t="s">
        <v>28</v>
      </c>
      <c r="D57" s="226">
        <v>1</v>
      </c>
      <c r="E57" s="221">
        <v>10</v>
      </c>
      <c r="F57" s="227">
        <v>8000</v>
      </c>
      <c r="G57" s="227">
        <f t="shared" si="26"/>
        <v>80000</v>
      </c>
      <c r="H57" s="268">
        <f t="shared" ref="H57" si="29">G57/589.84</f>
        <v>135.6300013563</v>
      </c>
      <c r="I57" s="642">
        <f t="shared" si="27"/>
        <v>2400</v>
      </c>
      <c r="J57" s="642">
        <f>1600*D57</f>
        <v>1600</v>
      </c>
      <c r="K57" s="642">
        <f t="shared" si="28"/>
        <v>80000</v>
      </c>
    </row>
    <row r="58" spans="1:11" ht="16.5" thickBot="1" x14ac:dyDescent="0.3">
      <c r="A58" s="188">
        <v>6</v>
      </c>
      <c r="B58" s="189" t="s">
        <v>479</v>
      </c>
      <c r="C58" s="225" t="s">
        <v>28</v>
      </c>
      <c r="D58" s="226">
        <v>1</v>
      </c>
      <c r="E58" s="221">
        <v>10</v>
      </c>
      <c r="F58" s="227">
        <v>8000</v>
      </c>
      <c r="G58" s="227">
        <f t="shared" si="26"/>
        <v>80000</v>
      </c>
      <c r="H58" s="268">
        <f t="shared" si="3"/>
        <v>135.6300013563</v>
      </c>
      <c r="I58" s="642">
        <f t="shared" si="27"/>
        <v>2400</v>
      </c>
      <c r="J58" s="642">
        <f>1600*D58</f>
        <v>1600</v>
      </c>
      <c r="K58" s="642">
        <f t="shared" si="28"/>
        <v>80000</v>
      </c>
    </row>
    <row r="59" spans="1:11" ht="18.75" thickBot="1" x14ac:dyDescent="0.3">
      <c r="A59" s="341"/>
      <c r="B59" s="342" t="s">
        <v>1399</v>
      </c>
      <c r="C59" s="343"/>
      <c r="D59" s="343"/>
      <c r="E59" s="343"/>
      <c r="F59" s="344"/>
      <c r="G59" s="344">
        <f>SUM(G53:G58)</f>
        <v>931000</v>
      </c>
      <c r="H59" s="345">
        <f>SUM(H53:H58)</f>
        <v>1578.3941407839413</v>
      </c>
      <c r="I59" s="263">
        <f>SUM(I53:I58)</f>
        <v>27930</v>
      </c>
      <c r="J59" s="263">
        <f>SUM(J53:J58)</f>
        <v>22100</v>
      </c>
      <c r="K59" s="12"/>
    </row>
    <row r="60" spans="1:11" ht="16.5" thickBot="1" x14ac:dyDescent="0.3">
      <c r="A60" s="188">
        <v>1</v>
      </c>
      <c r="B60" s="189" t="s">
        <v>480</v>
      </c>
      <c r="C60" s="225" t="s">
        <v>28</v>
      </c>
      <c r="D60" s="226">
        <v>8</v>
      </c>
      <c r="E60" s="221">
        <v>10</v>
      </c>
      <c r="F60" s="227">
        <v>7500</v>
      </c>
      <c r="G60" s="227">
        <f t="shared" ref="G60:G65" si="30">D60*E60*F60</f>
        <v>600000</v>
      </c>
      <c r="H60" s="347">
        <f t="shared" si="3"/>
        <v>1017.22501017225</v>
      </c>
      <c r="I60" s="642">
        <f>G60*0.03</f>
        <v>18000</v>
      </c>
      <c r="J60" s="642">
        <f>1600*D60</f>
        <v>12800</v>
      </c>
      <c r="K60" s="642">
        <f>G60/D60</f>
        <v>75000</v>
      </c>
    </row>
    <row r="61" spans="1:11" x14ac:dyDescent="0.25">
      <c r="A61" s="188">
        <v>2</v>
      </c>
      <c r="B61" s="189" t="s">
        <v>481</v>
      </c>
      <c r="C61" s="225" t="s">
        <v>28</v>
      </c>
      <c r="D61" s="226">
        <v>4</v>
      </c>
      <c r="E61" s="221">
        <v>10</v>
      </c>
      <c r="F61" s="227">
        <v>3000</v>
      </c>
      <c r="G61" s="227">
        <f t="shared" si="30"/>
        <v>120000</v>
      </c>
      <c r="H61" s="268">
        <f t="shared" si="3"/>
        <v>203.44500203445</v>
      </c>
      <c r="I61" s="642">
        <f t="shared" ref="I61:I65" si="31">G61*0.03</f>
        <v>3600</v>
      </c>
      <c r="J61" s="642">
        <f>1050*D61</f>
        <v>4200</v>
      </c>
      <c r="K61" s="642">
        <f t="shared" ref="K61:K65" si="32">G61/D61</f>
        <v>30000</v>
      </c>
    </row>
    <row r="62" spans="1:11" x14ac:dyDescent="0.25">
      <c r="A62" s="188">
        <v>3</v>
      </c>
      <c r="B62" s="189" t="s">
        <v>483</v>
      </c>
      <c r="C62" s="225" t="s">
        <v>28</v>
      </c>
      <c r="D62" s="226">
        <v>1</v>
      </c>
      <c r="E62" s="221">
        <v>10</v>
      </c>
      <c r="F62" s="227">
        <v>7500</v>
      </c>
      <c r="G62" s="227">
        <f t="shared" si="30"/>
        <v>75000</v>
      </c>
      <c r="H62" s="268">
        <f t="shared" si="3"/>
        <v>127.15312627153125</v>
      </c>
      <c r="I62" s="642">
        <f t="shared" si="31"/>
        <v>2250</v>
      </c>
      <c r="J62" s="642">
        <f>1600*D62</f>
        <v>1600</v>
      </c>
      <c r="K62" s="642">
        <f t="shared" si="32"/>
        <v>75000</v>
      </c>
    </row>
    <row r="63" spans="1:11" x14ac:dyDescent="0.25">
      <c r="A63" s="188">
        <v>4</v>
      </c>
      <c r="B63" s="189" t="s">
        <v>1365</v>
      </c>
      <c r="C63" s="225" t="s">
        <v>28</v>
      </c>
      <c r="D63" s="226">
        <v>33</v>
      </c>
      <c r="E63" s="221">
        <v>7</v>
      </c>
      <c r="F63" s="227">
        <v>3000</v>
      </c>
      <c r="G63" s="227">
        <f t="shared" si="30"/>
        <v>693000</v>
      </c>
      <c r="H63" s="268">
        <f t="shared" si="3"/>
        <v>1174.8948867489487</v>
      </c>
      <c r="I63" s="642">
        <f t="shared" si="31"/>
        <v>20790</v>
      </c>
      <c r="J63" s="642">
        <f>550*D63</f>
        <v>18150</v>
      </c>
      <c r="K63" s="642">
        <f t="shared" si="32"/>
        <v>21000</v>
      </c>
    </row>
    <row r="64" spans="1:11" x14ac:dyDescent="0.25">
      <c r="A64" s="188">
        <v>5</v>
      </c>
      <c r="B64" s="189" t="s">
        <v>1345</v>
      </c>
      <c r="C64" s="225" t="s">
        <v>28</v>
      </c>
      <c r="D64" s="226">
        <v>1</v>
      </c>
      <c r="E64" s="221">
        <v>10</v>
      </c>
      <c r="F64" s="227">
        <v>8000</v>
      </c>
      <c r="G64" s="227">
        <f t="shared" si="30"/>
        <v>80000</v>
      </c>
      <c r="H64" s="268">
        <f t="shared" ref="H64" si="33">G64/589.84</f>
        <v>135.6300013563</v>
      </c>
      <c r="I64" s="642">
        <f t="shared" si="31"/>
        <v>2400</v>
      </c>
      <c r="J64" s="642">
        <f>1600*D64</f>
        <v>1600</v>
      </c>
      <c r="K64" s="642">
        <f t="shared" si="32"/>
        <v>80000</v>
      </c>
    </row>
    <row r="65" spans="1:11" ht="16.5" thickBot="1" x14ac:dyDescent="0.3">
      <c r="A65" s="188">
        <v>6</v>
      </c>
      <c r="B65" s="189" t="s">
        <v>482</v>
      </c>
      <c r="C65" s="225" t="s">
        <v>28</v>
      </c>
      <c r="D65" s="226">
        <v>1</v>
      </c>
      <c r="E65" s="221">
        <v>10</v>
      </c>
      <c r="F65" s="227">
        <v>8000</v>
      </c>
      <c r="G65" s="227">
        <f t="shared" si="30"/>
        <v>80000</v>
      </c>
      <c r="H65" s="268">
        <f t="shared" si="3"/>
        <v>135.6300013563</v>
      </c>
      <c r="I65" s="642">
        <f t="shared" si="31"/>
        <v>2400</v>
      </c>
      <c r="J65" s="642">
        <f>1600*D65</f>
        <v>1600</v>
      </c>
      <c r="K65" s="642">
        <f t="shared" si="32"/>
        <v>80000</v>
      </c>
    </row>
    <row r="66" spans="1:11" ht="18.75" thickBot="1" x14ac:dyDescent="0.3">
      <c r="A66" s="341"/>
      <c r="B66" s="342" t="s">
        <v>1399</v>
      </c>
      <c r="C66" s="343"/>
      <c r="D66" s="343"/>
      <c r="E66" s="343"/>
      <c r="F66" s="344"/>
      <c r="G66" s="344">
        <f>SUM(G60:G65)</f>
        <v>1648000</v>
      </c>
      <c r="H66" s="345">
        <f>SUM(H60:H65)</f>
        <v>2793.9780279397801</v>
      </c>
      <c r="I66" s="263">
        <f>SUM(I60:I65)</f>
        <v>49440</v>
      </c>
      <c r="J66" s="263">
        <f>SUM(J60:J65)</f>
        <v>39950</v>
      </c>
      <c r="K66" s="12"/>
    </row>
    <row r="67" spans="1:11" x14ac:dyDescent="0.25">
      <c r="A67" s="242" t="s">
        <v>521</v>
      </c>
      <c r="B67" s="243"/>
      <c r="C67" s="242"/>
      <c r="D67" s="242"/>
      <c r="E67" s="242"/>
      <c r="F67" s="244"/>
      <c r="G67" s="244"/>
      <c r="H67" s="244"/>
      <c r="I67" s="12"/>
      <c r="J67" s="12"/>
      <c r="K67" s="12"/>
    </row>
    <row r="68" spans="1:11" x14ac:dyDescent="0.25">
      <c r="A68" s="188">
        <v>1</v>
      </c>
      <c r="B68" s="189" t="s">
        <v>76</v>
      </c>
      <c r="C68" s="225" t="s">
        <v>28</v>
      </c>
      <c r="D68" s="495">
        <v>2</v>
      </c>
      <c r="E68" s="229">
        <v>12</v>
      </c>
      <c r="F68" s="227">
        <v>12500</v>
      </c>
      <c r="G68" s="227">
        <f t="shared" ref="G68:G76" si="34">D68*E68*F68</f>
        <v>300000</v>
      </c>
      <c r="H68" s="268">
        <f t="shared" si="3"/>
        <v>508.612505086125</v>
      </c>
      <c r="I68" s="642">
        <f t="shared" ref="I68:I76" si="35">G68*0.03</f>
        <v>9000</v>
      </c>
      <c r="J68" s="642">
        <f>1900*D68</f>
        <v>3800</v>
      </c>
      <c r="K68" s="642">
        <f t="shared" ref="K68:K76" si="36">G68/D68</f>
        <v>150000</v>
      </c>
    </row>
    <row r="69" spans="1:11" x14ac:dyDescent="0.25">
      <c r="A69" s="188">
        <v>2</v>
      </c>
      <c r="B69" s="189" t="s">
        <v>77</v>
      </c>
      <c r="C69" s="225" t="s">
        <v>28</v>
      </c>
      <c r="D69" s="495">
        <v>1</v>
      </c>
      <c r="E69" s="229">
        <v>10</v>
      </c>
      <c r="F69" s="25">
        <v>10000</v>
      </c>
      <c r="G69" s="227">
        <f t="shared" si="34"/>
        <v>100000</v>
      </c>
      <c r="H69" s="268">
        <f t="shared" si="3"/>
        <v>169.537501695375</v>
      </c>
      <c r="I69" s="642">
        <f t="shared" si="35"/>
        <v>3000</v>
      </c>
      <c r="J69" s="642">
        <f>1600*D69</f>
        <v>1600</v>
      </c>
      <c r="K69" s="642">
        <f t="shared" si="36"/>
        <v>100000</v>
      </c>
    </row>
    <row r="70" spans="1:11" x14ac:dyDescent="0.25">
      <c r="A70" s="188">
        <v>3</v>
      </c>
      <c r="B70" s="189" t="s">
        <v>78</v>
      </c>
      <c r="C70" s="225" t="s">
        <v>28</v>
      </c>
      <c r="D70" s="495">
        <v>2</v>
      </c>
      <c r="E70" s="229">
        <v>13</v>
      </c>
      <c r="F70" s="25">
        <v>10000</v>
      </c>
      <c r="G70" s="227">
        <f t="shared" si="34"/>
        <v>260000</v>
      </c>
      <c r="H70" s="268">
        <f t="shared" si="3"/>
        <v>440.797504407975</v>
      </c>
      <c r="I70" s="642">
        <f t="shared" si="35"/>
        <v>7800</v>
      </c>
      <c r="J70" s="642">
        <f>1900*D70</f>
        <v>3800</v>
      </c>
      <c r="K70" s="642">
        <f t="shared" si="36"/>
        <v>130000</v>
      </c>
    </row>
    <row r="71" spans="1:11" x14ac:dyDescent="0.25">
      <c r="A71" s="188">
        <v>4</v>
      </c>
      <c r="B71" s="189" t="s">
        <v>79</v>
      </c>
      <c r="C71" s="225" t="s">
        <v>28</v>
      </c>
      <c r="D71" s="495">
        <v>1</v>
      </c>
      <c r="E71" s="229">
        <v>13</v>
      </c>
      <c r="F71" s="25">
        <v>10000</v>
      </c>
      <c r="G71" s="227">
        <f t="shared" si="34"/>
        <v>130000</v>
      </c>
      <c r="H71" s="268">
        <f t="shared" si="3"/>
        <v>220.3987522039875</v>
      </c>
      <c r="I71" s="642">
        <f t="shared" si="35"/>
        <v>3900</v>
      </c>
      <c r="J71" s="642">
        <f>1600*D71</f>
        <v>1600</v>
      </c>
      <c r="K71" s="642">
        <f t="shared" si="36"/>
        <v>130000</v>
      </c>
    </row>
    <row r="72" spans="1:11" x14ac:dyDescent="0.25">
      <c r="A72" s="188">
        <v>5</v>
      </c>
      <c r="B72" s="189" t="s">
        <v>80</v>
      </c>
      <c r="C72" s="225" t="s">
        <v>28</v>
      </c>
      <c r="D72" s="495">
        <v>1</v>
      </c>
      <c r="E72" s="229">
        <v>10</v>
      </c>
      <c r="F72" s="25">
        <v>10000</v>
      </c>
      <c r="G72" s="227">
        <f t="shared" si="34"/>
        <v>100000</v>
      </c>
      <c r="H72" s="268">
        <f t="shared" si="3"/>
        <v>169.537501695375</v>
      </c>
      <c r="I72" s="642">
        <f t="shared" si="35"/>
        <v>3000</v>
      </c>
      <c r="J72" s="642">
        <f t="shared" ref="J72:J75" si="37">1600*D72</f>
        <v>1600</v>
      </c>
      <c r="K72" s="642">
        <f t="shared" si="36"/>
        <v>100000</v>
      </c>
    </row>
    <row r="73" spans="1:11" x14ac:dyDescent="0.25">
      <c r="A73" s="188">
        <v>6</v>
      </c>
      <c r="B73" s="189" t="s">
        <v>81</v>
      </c>
      <c r="C73" s="225" t="s">
        <v>28</v>
      </c>
      <c r="D73" s="495">
        <v>1</v>
      </c>
      <c r="E73" s="229">
        <v>10</v>
      </c>
      <c r="F73" s="25">
        <v>10000</v>
      </c>
      <c r="G73" s="227">
        <f t="shared" si="34"/>
        <v>100000</v>
      </c>
      <c r="H73" s="268">
        <f t="shared" si="3"/>
        <v>169.537501695375</v>
      </c>
      <c r="I73" s="642">
        <f t="shared" si="35"/>
        <v>3000</v>
      </c>
      <c r="J73" s="642">
        <f t="shared" si="37"/>
        <v>1600</v>
      </c>
      <c r="K73" s="642">
        <f t="shared" si="36"/>
        <v>100000</v>
      </c>
    </row>
    <row r="74" spans="1:11" x14ac:dyDescent="0.25">
      <c r="A74" s="188">
        <v>7</v>
      </c>
      <c r="B74" s="189" t="s">
        <v>82</v>
      </c>
      <c r="C74" s="225" t="s">
        <v>28</v>
      </c>
      <c r="D74" s="495">
        <v>3</v>
      </c>
      <c r="E74" s="229">
        <v>10</v>
      </c>
      <c r="F74" s="25">
        <v>10000</v>
      </c>
      <c r="G74" s="227">
        <f t="shared" si="34"/>
        <v>300000</v>
      </c>
      <c r="H74" s="268">
        <f t="shared" si="3"/>
        <v>508.612505086125</v>
      </c>
      <c r="I74" s="642">
        <f t="shared" si="35"/>
        <v>9000</v>
      </c>
      <c r="J74" s="642">
        <f t="shared" si="37"/>
        <v>4800</v>
      </c>
      <c r="K74" s="642">
        <f t="shared" si="36"/>
        <v>100000</v>
      </c>
    </row>
    <row r="75" spans="1:11" x14ac:dyDescent="0.25">
      <c r="A75" s="188">
        <v>8</v>
      </c>
      <c r="B75" s="189" t="s">
        <v>1514</v>
      </c>
      <c r="C75" s="225" t="s">
        <v>28</v>
      </c>
      <c r="D75" s="495">
        <v>1</v>
      </c>
      <c r="E75" s="229">
        <v>10</v>
      </c>
      <c r="F75" s="25">
        <v>10000</v>
      </c>
      <c r="G75" s="227">
        <f t="shared" si="34"/>
        <v>100000</v>
      </c>
      <c r="H75" s="268">
        <f t="shared" si="3"/>
        <v>169.537501695375</v>
      </c>
      <c r="I75" s="642">
        <f t="shared" si="35"/>
        <v>3000</v>
      </c>
      <c r="J75" s="642">
        <f t="shared" si="37"/>
        <v>1600</v>
      </c>
      <c r="K75" s="642">
        <f t="shared" si="36"/>
        <v>100000</v>
      </c>
    </row>
    <row r="76" spans="1:11" ht="16.5" thickBot="1" x14ac:dyDescent="0.3">
      <c r="A76" s="188">
        <v>9</v>
      </c>
      <c r="B76" s="189" t="s">
        <v>484</v>
      </c>
      <c r="C76" s="225" t="s">
        <v>28</v>
      </c>
      <c r="D76" s="228">
        <v>1</v>
      </c>
      <c r="E76" s="229">
        <v>10</v>
      </c>
      <c r="F76" s="227">
        <v>5000</v>
      </c>
      <c r="G76" s="227">
        <f t="shared" si="34"/>
        <v>50000</v>
      </c>
      <c r="H76" s="268">
        <f t="shared" si="3"/>
        <v>84.7687508476875</v>
      </c>
      <c r="I76" s="642">
        <f t="shared" si="35"/>
        <v>1500</v>
      </c>
      <c r="J76" s="642">
        <f>1050*D76</f>
        <v>1050</v>
      </c>
      <c r="K76" s="642">
        <f t="shared" si="36"/>
        <v>50000</v>
      </c>
    </row>
    <row r="77" spans="1:11" ht="18.75" thickBot="1" x14ac:dyDescent="0.3">
      <c r="A77" s="242" t="s">
        <v>522</v>
      </c>
      <c r="B77" s="342" t="s">
        <v>1399</v>
      </c>
      <c r="C77" s="242"/>
      <c r="D77" s="242"/>
      <c r="E77" s="242"/>
      <c r="F77" s="244"/>
      <c r="G77" s="244">
        <f>SUM(G68:G76)</f>
        <v>1440000</v>
      </c>
      <c r="H77" s="340">
        <f>SUM(H68:H76)</f>
        <v>2441.3400244133995</v>
      </c>
      <c r="I77" s="263">
        <f>SUM(I68:I76)</f>
        <v>43200</v>
      </c>
      <c r="J77" s="263">
        <f>SUM(J68:J76)</f>
        <v>21450</v>
      </c>
      <c r="K77" s="12"/>
    </row>
    <row r="78" spans="1:11" ht="37.15" customHeight="1" thickBot="1" x14ac:dyDescent="0.3">
      <c r="A78" s="780" t="s">
        <v>526</v>
      </c>
      <c r="B78" s="781"/>
      <c r="C78" s="781"/>
      <c r="D78" s="781"/>
      <c r="E78" s="783"/>
      <c r="F78" s="348"/>
      <c r="G78" s="349"/>
      <c r="H78" s="350"/>
      <c r="I78" s="12"/>
      <c r="J78" s="12"/>
      <c r="K78" s="12"/>
    </row>
    <row r="79" spans="1:11" ht="18" x14ac:dyDescent="0.25">
      <c r="A79" s="233"/>
      <c r="B79" s="234" t="s">
        <v>450</v>
      </c>
      <c r="C79" s="234"/>
      <c r="D79" s="463"/>
      <c r="E79" s="234"/>
      <c r="F79" s="234"/>
      <c r="G79" s="234"/>
      <c r="H79" s="234"/>
      <c r="I79" s="12"/>
      <c r="J79" s="12"/>
      <c r="K79" s="12"/>
    </row>
    <row r="80" spans="1:11" x14ac:dyDescent="0.25">
      <c r="A80" s="22">
        <v>1</v>
      </c>
      <c r="B80" s="26" t="s">
        <v>1293</v>
      </c>
      <c r="C80" s="23" t="s">
        <v>83</v>
      </c>
      <c r="D80" s="19">
        <f>(74-19)-8</f>
        <v>47</v>
      </c>
      <c r="E80" s="23">
        <v>10</v>
      </c>
      <c r="F80" s="25">
        <v>10000</v>
      </c>
      <c r="G80" s="227">
        <f t="shared" ref="G80:G98" si="38">D80*E80*F80</f>
        <v>4700000</v>
      </c>
      <c r="H80" s="268">
        <f t="shared" ref="H80:H98" si="39">G80/589.84</f>
        <v>7968.2625796826251</v>
      </c>
      <c r="I80" s="642">
        <f t="shared" ref="I80" si="40">G80*0.03</f>
        <v>141000</v>
      </c>
      <c r="J80" s="642">
        <f t="shared" ref="J80" si="41">1600*D80</f>
        <v>75200</v>
      </c>
      <c r="K80" s="642">
        <f t="shared" ref="K80" si="42">G80/D80</f>
        <v>100000</v>
      </c>
    </row>
    <row r="81" spans="1:11" x14ac:dyDescent="0.25">
      <c r="A81" s="22">
        <v>2</v>
      </c>
      <c r="B81" s="26" t="s">
        <v>1294</v>
      </c>
      <c r="C81" s="23" t="s">
        <v>30</v>
      </c>
      <c r="D81" s="19">
        <f>74*3*10</f>
        <v>2220</v>
      </c>
      <c r="E81" s="23">
        <v>1</v>
      </c>
      <c r="F81" s="25">
        <v>850</v>
      </c>
      <c r="G81" s="227">
        <f t="shared" si="38"/>
        <v>1887000</v>
      </c>
      <c r="H81" s="268">
        <f t="shared" si="39"/>
        <v>3199.1726569917264</v>
      </c>
      <c r="I81" s="12"/>
      <c r="J81" s="12"/>
      <c r="K81" s="12"/>
    </row>
    <row r="82" spans="1:11" x14ac:dyDescent="0.25">
      <c r="A82" s="22">
        <v>3</v>
      </c>
      <c r="B82" s="26" t="s">
        <v>1295</v>
      </c>
      <c r="C82" s="23" t="s">
        <v>83</v>
      </c>
      <c r="D82" s="19">
        <f>+D16+D23+D30+D37+D44+D51+D58+D65</f>
        <v>12</v>
      </c>
      <c r="E82" s="23">
        <v>10</v>
      </c>
      <c r="F82" s="25">
        <v>10000</v>
      </c>
      <c r="G82" s="227">
        <f t="shared" si="38"/>
        <v>1200000</v>
      </c>
      <c r="H82" s="268">
        <f t="shared" si="39"/>
        <v>2034.4500203445</v>
      </c>
      <c r="I82" s="642">
        <f t="shared" ref="I82" si="43">G82*0.03</f>
        <v>36000</v>
      </c>
      <c r="J82" s="642">
        <f t="shared" ref="J82" si="44">1600*D82</f>
        <v>19200</v>
      </c>
      <c r="K82" s="642">
        <f t="shared" ref="K82" si="45">G82/D82</f>
        <v>100000</v>
      </c>
    </row>
    <row r="83" spans="1:11" x14ac:dyDescent="0.25">
      <c r="A83" s="22">
        <v>4</v>
      </c>
      <c r="B83" s="26" t="s">
        <v>1296</v>
      </c>
      <c r="C83" s="23" t="s">
        <v>30</v>
      </c>
      <c r="D83" s="23">
        <f>12*3*10</f>
        <v>360</v>
      </c>
      <c r="E83" s="23">
        <v>1</v>
      </c>
      <c r="F83" s="25">
        <v>850</v>
      </c>
      <c r="G83" s="227">
        <f t="shared" si="38"/>
        <v>306000</v>
      </c>
      <c r="H83" s="268">
        <f t="shared" si="39"/>
        <v>518.78475518784751</v>
      </c>
      <c r="I83" s="12"/>
      <c r="J83" s="12"/>
      <c r="K83" s="12"/>
    </row>
    <row r="84" spans="1:11" x14ac:dyDescent="0.25">
      <c r="A84" s="22">
        <v>5</v>
      </c>
      <c r="B84" s="26" t="s">
        <v>1297</v>
      </c>
      <c r="C84" s="23" t="s">
        <v>84</v>
      </c>
      <c r="D84" s="23">
        <v>3</v>
      </c>
      <c r="E84" s="23">
        <v>0</v>
      </c>
      <c r="F84" s="25">
        <v>75000</v>
      </c>
      <c r="G84" s="227">
        <f t="shared" si="38"/>
        <v>0</v>
      </c>
      <c r="H84" s="268">
        <f t="shared" si="39"/>
        <v>0</v>
      </c>
      <c r="I84" s="12"/>
      <c r="J84" s="12"/>
      <c r="K84" s="12"/>
    </row>
    <row r="85" spans="1:11" x14ac:dyDescent="0.25">
      <c r="A85" s="22">
        <v>6</v>
      </c>
      <c r="B85" s="26" t="s">
        <v>1298</v>
      </c>
      <c r="C85" s="23" t="s">
        <v>29</v>
      </c>
      <c r="D85" s="23">
        <f>D84*100*0.2*10</f>
        <v>600</v>
      </c>
      <c r="E85" s="23">
        <v>1</v>
      </c>
      <c r="F85" s="25">
        <v>800</v>
      </c>
      <c r="G85" s="227">
        <f t="shared" si="38"/>
        <v>480000</v>
      </c>
      <c r="H85" s="268">
        <f t="shared" si="39"/>
        <v>813.7800081378</v>
      </c>
      <c r="I85" s="12"/>
      <c r="J85" s="12"/>
      <c r="K85" s="12"/>
    </row>
    <row r="86" spans="1:11" x14ac:dyDescent="0.25">
      <c r="A86" s="22">
        <v>7</v>
      </c>
      <c r="B86" s="26" t="s">
        <v>1363</v>
      </c>
      <c r="C86" s="23" t="s">
        <v>90</v>
      </c>
      <c r="D86" s="19">
        <f>50*0.2*1*10</f>
        <v>100</v>
      </c>
      <c r="E86" s="23">
        <v>1</v>
      </c>
      <c r="F86" s="25">
        <v>800</v>
      </c>
      <c r="G86" s="227">
        <f t="shared" si="38"/>
        <v>80000</v>
      </c>
      <c r="H86" s="268">
        <f t="shared" si="39"/>
        <v>135.6300013563</v>
      </c>
      <c r="I86" s="12"/>
      <c r="J86" s="12"/>
      <c r="K86" s="12"/>
    </row>
    <row r="87" spans="1:11" x14ac:dyDescent="0.25">
      <c r="A87" s="22">
        <v>8</v>
      </c>
      <c r="B87" s="26" t="s">
        <v>1444</v>
      </c>
      <c r="C87" s="23" t="s">
        <v>1524</v>
      </c>
      <c r="D87" s="19">
        <v>8</v>
      </c>
      <c r="E87" s="23">
        <v>0</v>
      </c>
      <c r="F87" s="25">
        <f>75000+225000</f>
        <v>300000</v>
      </c>
      <c r="G87" s="227">
        <f t="shared" si="38"/>
        <v>0</v>
      </c>
      <c r="H87" s="268">
        <f t="shared" si="39"/>
        <v>0</v>
      </c>
      <c r="I87" s="12"/>
      <c r="J87" s="12"/>
      <c r="K87" s="12"/>
    </row>
    <row r="88" spans="1:11" x14ac:dyDescent="0.25">
      <c r="A88" s="22">
        <v>9</v>
      </c>
      <c r="B88" s="26" t="s">
        <v>1446</v>
      </c>
      <c r="C88" s="23" t="s">
        <v>30</v>
      </c>
      <c r="D88" s="19">
        <f>8*3*10</f>
        <v>240</v>
      </c>
      <c r="E88" s="23">
        <v>1</v>
      </c>
      <c r="F88" s="25">
        <v>850</v>
      </c>
      <c r="G88" s="227">
        <f t="shared" si="38"/>
        <v>204000</v>
      </c>
      <c r="H88" s="268">
        <f t="shared" si="39"/>
        <v>345.85650345856504</v>
      </c>
      <c r="I88" s="12"/>
      <c r="J88" s="12"/>
      <c r="K88" s="12"/>
    </row>
    <row r="89" spans="1:11" x14ac:dyDescent="0.25">
      <c r="A89" s="22">
        <v>10</v>
      </c>
      <c r="B89" s="26" t="s">
        <v>1300</v>
      </c>
      <c r="C89" s="23" t="s">
        <v>1301</v>
      </c>
      <c r="D89" s="23">
        <v>0</v>
      </c>
      <c r="E89" s="23">
        <v>5</v>
      </c>
      <c r="F89" s="25">
        <v>6000</v>
      </c>
      <c r="G89" s="227">
        <f t="shared" si="38"/>
        <v>0</v>
      </c>
      <c r="H89" s="268">
        <f t="shared" si="39"/>
        <v>0</v>
      </c>
      <c r="I89" s="12"/>
      <c r="J89" s="12"/>
      <c r="K89" s="12"/>
    </row>
    <row r="90" spans="1:11" x14ac:dyDescent="0.25">
      <c r="A90" s="22">
        <v>11</v>
      </c>
      <c r="B90" s="26" t="s">
        <v>1384</v>
      </c>
      <c r="C90" s="23" t="s">
        <v>1302</v>
      </c>
      <c r="D90" s="23">
        <v>1</v>
      </c>
      <c r="E90" s="23">
        <v>3</v>
      </c>
      <c r="F90" s="25">
        <v>25000</v>
      </c>
      <c r="G90" s="227">
        <f t="shared" si="38"/>
        <v>75000</v>
      </c>
      <c r="H90" s="268">
        <f t="shared" si="39"/>
        <v>127.15312627153125</v>
      </c>
      <c r="I90" s="12"/>
      <c r="J90" s="12"/>
      <c r="K90" s="12"/>
    </row>
    <row r="91" spans="1:11" x14ac:dyDescent="0.25">
      <c r="A91" s="22">
        <v>12</v>
      </c>
      <c r="B91" s="26" t="s">
        <v>1385</v>
      </c>
      <c r="C91" s="23" t="s">
        <v>1302</v>
      </c>
      <c r="D91" s="23">
        <v>1</v>
      </c>
      <c r="E91" s="23">
        <v>2</v>
      </c>
      <c r="F91" s="25">
        <v>25000</v>
      </c>
      <c r="G91" s="227">
        <f t="shared" si="38"/>
        <v>50000</v>
      </c>
      <c r="H91" s="268">
        <f t="shared" si="39"/>
        <v>84.7687508476875</v>
      </c>
      <c r="I91" s="12"/>
      <c r="J91" s="12"/>
      <c r="K91" s="12"/>
    </row>
    <row r="92" spans="1:11" x14ac:dyDescent="0.25">
      <c r="A92" s="22">
        <v>13</v>
      </c>
      <c r="B92" s="26" t="s">
        <v>1386</v>
      </c>
      <c r="C92" s="23" t="s">
        <v>1302</v>
      </c>
      <c r="D92" s="19">
        <v>0</v>
      </c>
      <c r="E92" s="19">
        <v>0</v>
      </c>
      <c r="F92" s="25">
        <v>0</v>
      </c>
      <c r="G92" s="227">
        <f t="shared" si="38"/>
        <v>0</v>
      </c>
      <c r="H92" s="268">
        <f t="shared" si="39"/>
        <v>0</v>
      </c>
      <c r="I92" s="12"/>
      <c r="J92" s="12"/>
      <c r="K92" s="12"/>
    </row>
    <row r="93" spans="1:11" x14ac:dyDescent="0.25">
      <c r="A93" s="22">
        <v>14</v>
      </c>
      <c r="B93" s="26" t="s">
        <v>269</v>
      </c>
      <c r="C93" s="23" t="s">
        <v>1302</v>
      </c>
      <c r="D93" s="19">
        <v>1</v>
      </c>
      <c r="E93" s="23">
        <v>3</v>
      </c>
      <c r="F93" s="25">
        <v>50000</v>
      </c>
      <c r="G93" s="227">
        <f t="shared" si="38"/>
        <v>150000</v>
      </c>
      <c r="H93" s="268">
        <f t="shared" si="39"/>
        <v>254.3062525430625</v>
      </c>
      <c r="I93" s="12"/>
      <c r="J93" s="12"/>
      <c r="K93" s="12"/>
    </row>
    <row r="94" spans="1:11" x14ac:dyDescent="0.25">
      <c r="A94" s="22">
        <v>15</v>
      </c>
      <c r="B94" s="26" t="s">
        <v>87</v>
      </c>
      <c r="C94" s="23" t="s">
        <v>85</v>
      </c>
      <c r="D94" s="19">
        <v>0</v>
      </c>
      <c r="E94" s="19">
        <v>0</v>
      </c>
      <c r="F94" s="25">
        <v>0</v>
      </c>
      <c r="G94" s="227">
        <f t="shared" si="38"/>
        <v>0</v>
      </c>
      <c r="H94" s="268">
        <f t="shared" si="39"/>
        <v>0</v>
      </c>
      <c r="I94" s="12"/>
      <c r="J94" s="12"/>
      <c r="K94" s="12"/>
    </row>
    <row r="95" spans="1:11" x14ac:dyDescent="0.25">
      <c r="A95" s="22">
        <v>16</v>
      </c>
      <c r="B95" s="26" t="s">
        <v>1303</v>
      </c>
      <c r="C95" s="23" t="s">
        <v>85</v>
      </c>
      <c r="D95" s="19">
        <v>0</v>
      </c>
      <c r="E95" s="19">
        <v>0</v>
      </c>
      <c r="F95" s="25">
        <v>0</v>
      </c>
      <c r="G95" s="227">
        <f t="shared" si="38"/>
        <v>0</v>
      </c>
      <c r="H95" s="268">
        <f t="shared" si="39"/>
        <v>0</v>
      </c>
      <c r="I95" s="12"/>
      <c r="J95" s="12"/>
      <c r="K95" s="12"/>
    </row>
    <row r="96" spans="1:11" x14ac:dyDescent="0.25">
      <c r="A96" s="22">
        <v>17</v>
      </c>
      <c r="B96" s="26" t="s">
        <v>270</v>
      </c>
      <c r="C96" s="23" t="s">
        <v>29</v>
      </c>
      <c r="D96" s="23">
        <v>20</v>
      </c>
      <c r="E96" s="23">
        <v>10</v>
      </c>
      <c r="F96" s="25">
        <v>800</v>
      </c>
      <c r="G96" s="227">
        <f t="shared" si="38"/>
        <v>160000</v>
      </c>
      <c r="H96" s="268">
        <f t="shared" si="39"/>
        <v>271.2600027126</v>
      </c>
      <c r="I96" s="12"/>
      <c r="J96" s="12"/>
      <c r="K96" s="12"/>
    </row>
    <row r="97" spans="1:11" x14ac:dyDescent="0.25">
      <c r="A97" s="22">
        <v>18</v>
      </c>
      <c r="B97" s="26" t="s">
        <v>1304</v>
      </c>
      <c r="C97" s="23" t="s">
        <v>1305</v>
      </c>
      <c r="D97" s="23">
        <v>37</v>
      </c>
      <c r="E97" s="23">
        <v>1</v>
      </c>
      <c r="F97" s="25">
        <v>1500</v>
      </c>
      <c r="G97" s="227">
        <f t="shared" si="38"/>
        <v>55500</v>
      </c>
      <c r="H97" s="268">
        <f t="shared" si="39"/>
        <v>94.09331344093313</v>
      </c>
      <c r="I97" s="12"/>
      <c r="J97" s="12"/>
      <c r="K97" s="12"/>
    </row>
    <row r="98" spans="1:11" ht="16.5" thickBot="1" x14ac:dyDescent="0.3">
      <c r="A98" s="22">
        <v>19</v>
      </c>
      <c r="B98" s="26" t="s">
        <v>265</v>
      </c>
      <c r="C98" s="23" t="s">
        <v>1306</v>
      </c>
      <c r="D98" s="23">
        <v>0</v>
      </c>
      <c r="E98" s="23">
        <v>9</v>
      </c>
      <c r="F98" s="25">
        <v>10000</v>
      </c>
      <c r="G98" s="227">
        <f t="shared" si="38"/>
        <v>0</v>
      </c>
      <c r="H98" s="268">
        <f t="shared" si="39"/>
        <v>0</v>
      </c>
      <c r="I98" s="12"/>
      <c r="J98" s="12"/>
      <c r="K98" s="12"/>
    </row>
    <row r="99" spans="1:11" ht="19.149999999999999" customHeight="1" thickBot="1" x14ac:dyDescent="0.3">
      <c r="A99" s="780" t="s">
        <v>525</v>
      </c>
      <c r="B99" s="781"/>
      <c r="C99" s="781"/>
      <c r="D99" s="781"/>
      <c r="E99" s="783"/>
      <c r="F99" s="348"/>
      <c r="G99" s="349">
        <f>SUM(G80:G98)</f>
        <v>9347500</v>
      </c>
      <c r="H99" s="350">
        <f>SUM(H80:H98)</f>
        <v>15847.517970975177</v>
      </c>
      <c r="I99" s="263">
        <f>I80+I82</f>
        <v>177000</v>
      </c>
      <c r="J99" s="263">
        <f>J80+J82</f>
        <v>94400</v>
      </c>
      <c r="K99" s="12"/>
    </row>
    <row r="100" spans="1:11" ht="18" x14ac:dyDescent="0.25">
      <c r="A100" s="29"/>
      <c r="B100" s="206" t="s">
        <v>399</v>
      </c>
      <c r="C100" s="29"/>
      <c r="D100" s="29"/>
      <c r="E100" s="29"/>
      <c r="F100" s="29"/>
      <c r="G100" s="29"/>
      <c r="H100" s="29"/>
      <c r="I100" s="12"/>
      <c r="J100" s="12"/>
      <c r="K100" s="12"/>
    </row>
    <row r="101" spans="1:11" ht="18" x14ac:dyDescent="0.25">
      <c r="A101" s="205"/>
      <c r="B101" s="205" t="s">
        <v>400</v>
      </c>
      <c r="C101" s="205"/>
      <c r="D101" s="205"/>
      <c r="E101" s="205"/>
      <c r="F101" s="205"/>
      <c r="G101" s="205"/>
      <c r="H101" s="205"/>
      <c r="I101" s="12"/>
      <c r="J101" s="12"/>
      <c r="K101" s="12"/>
    </row>
    <row r="102" spans="1:11" ht="28.5" x14ac:dyDescent="0.25">
      <c r="A102" s="22">
        <v>1</v>
      </c>
      <c r="B102" s="26" t="s">
        <v>1283</v>
      </c>
      <c r="C102" s="23" t="s">
        <v>28</v>
      </c>
      <c r="D102" s="24">
        <v>1</v>
      </c>
      <c r="E102" s="24">
        <v>3</v>
      </c>
      <c r="F102" s="25">
        <v>8000</v>
      </c>
      <c r="G102" s="25">
        <f t="shared" ref="G102:G123" si="46">D102*E102*F102</f>
        <v>24000</v>
      </c>
      <c r="H102" s="268">
        <f t="shared" ref="H102:H123" si="47">G102/589.84</f>
        <v>40.689000406890003</v>
      </c>
      <c r="I102" s="642">
        <f t="shared" ref="I102:I119" si="48">G102*0.03</f>
        <v>720</v>
      </c>
      <c r="J102" s="642">
        <f>550*D102</f>
        <v>550</v>
      </c>
      <c r="K102" s="642">
        <f t="shared" ref="K102:K119" si="49">G102/D102</f>
        <v>24000</v>
      </c>
    </row>
    <row r="103" spans="1:11" ht="28.5" x14ac:dyDescent="0.25">
      <c r="A103" s="22">
        <v>2</v>
      </c>
      <c r="B103" s="26" t="s">
        <v>489</v>
      </c>
      <c r="C103" s="23" t="s">
        <v>28</v>
      </c>
      <c r="D103" s="24">
        <v>1</v>
      </c>
      <c r="E103" s="24">
        <v>3</v>
      </c>
      <c r="F103" s="25">
        <v>8000</v>
      </c>
      <c r="G103" s="25">
        <f t="shared" si="46"/>
        <v>24000</v>
      </c>
      <c r="H103" s="268">
        <f t="shared" si="47"/>
        <v>40.689000406890003</v>
      </c>
      <c r="I103" s="642">
        <f t="shared" si="48"/>
        <v>720</v>
      </c>
      <c r="J103" s="642">
        <f t="shared" ref="J103:J104" si="50">550*D103</f>
        <v>550</v>
      </c>
      <c r="K103" s="642">
        <f t="shared" si="49"/>
        <v>24000</v>
      </c>
    </row>
    <row r="104" spans="1:11" ht="28.5" x14ac:dyDescent="0.25">
      <c r="A104" s="22">
        <v>3</v>
      </c>
      <c r="B104" s="26" t="s">
        <v>490</v>
      </c>
      <c r="C104" s="23" t="s">
        <v>28</v>
      </c>
      <c r="D104" s="24">
        <v>1</v>
      </c>
      <c r="E104" s="24">
        <v>3</v>
      </c>
      <c r="F104" s="25">
        <v>8000</v>
      </c>
      <c r="G104" s="25">
        <f t="shared" si="46"/>
        <v>24000</v>
      </c>
      <c r="H104" s="268">
        <f t="shared" si="47"/>
        <v>40.689000406890003</v>
      </c>
      <c r="I104" s="642">
        <f t="shared" si="48"/>
        <v>720</v>
      </c>
      <c r="J104" s="642">
        <f t="shared" si="50"/>
        <v>550</v>
      </c>
      <c r="K104" s="642">
        <f t="shared" si="49"/>
        <v>24000</v>
      </c>
    </row>
    <row r="105" spans="1:11" ht="28.5" x14ac:dyDescent="0.25">
      <c r="A105" s="22">
        <v>4</v>
      </c>
      <c r="B105" s="26" t="s">
        <v>1282</v>
      </c>
      <c r="C105" s="23" t="s">
        <v>28</v>
      </c>
      <c r="D105" s="24">
        <v>1</v>
      </c>
      <c r="E105" s="24">
        <v>3</v>
      </c>
      <c r="F105" s="25">
        <v>5000</v>
      </c>
      <c r="G105" s="25">
        <f t="shared" si="46"/>
        <v>15000</v>
      </c>
      <c r="H105" s="268">
        <f t="shared" si="47"/>
        <v>25.43062525430625</v>
      </c>
      <c r="I105" s="642">
        <f t="shared" si="48"/>
        <v>450</v>
      </c>
      <c r="J105" s="642">
        <f>450*D105</f>
        <v>450</v>
      </c>
      <c r="K105" s="642">
        <f t="shared" si="49"/>
        <v>15000</v>
      </c>
    </row>
    <row r="106" spans="1:11" ht="28.5" x14ac:dyDescent="0.25">
      <c r="A106" s="22">
        <v>5</v>
      </c>
      <c r="B106" s="26" t="s">
        <v>491</v>
      </c>
      <c r="C106" s="23" t="s">
        <v>28</v>
      </c>
      <c r="D106" s="24">
        <v>1</v>
      </c>
      <c r="E106" s="24">
        <v>3</v>
      </c>
      <c r="F106" s="25">
        <v>8000</v>
      </c>
      <c r="G106" s="25">
        <f t="shared" si="46"/>
        <v>24000</v>
      </c>
      <c r="H106" s="268">
        <f t="shared" si="47"/>
        <v>40.689000406890003</v>
      </c>
      <c r="I106" s="642">
        <f t="shared" si="48"/>
        <v>720</v>
      </c>
      <c r="J106" s="642">
        <f t="shared" ref="J106:J109" si="51">550*D106</f>
        <v>550</v>
      </c>
      <c r="K106" s="642">
        <f t="shared" si="49"/>
        <v>24000</v>
      </c>
    </row>
    <row r="107" spans="1:11" ht="28.5" x14ac:dyDescent="0.25">
      <c r="A107" s="22">
        <v>6</v>
      </c>
      <c r="B107" s="26" t="s">
        <v>492</v>
      </c>
      <c r="C107" s="23" t="s">
        <v>28</v>
      </c>
      <c r="D107" s="24">
        <v>1</v>
      </c>
      <c r="E107" s="24">
        <v>3</v>
      </c>
      <c r="F107" s="25">
        <v>8000</v>
      </c>
      <c r="G107" s="25">
        <f t="shared" si="46"/>
        <v>24000</v>
      </c>
      <c r="H107" s="268">
        <f t="shared" si="47"/>
        <v>40.689000406890003</v>
      </c>
      <c r="I107" s="642">
        <f t="shared" si="48"/>
        <v>720</v>
      </c>
      <c r="J107" s="642">
        <f t="shared" si="51"/>
        <v>550</v>
      </c>
      <c r="K107" s="642">
        <f t="shared" si="49"/>
        <v>24000</v>
      </c>
    </row>
    <row r="108" spans="1:11" ht="28.5" x14ac:dyDescent="0.25">
      <c r="A108" s="22">
        <v>7</v>
      </c>
      <c r="B108" s="26" t="s">
        <v>493</v>
      </c>
      <c r="C108" s="23" t="s">
        <v>28</v>
      </c>
      <c r="D108" s="24">
        <v>1</v>
      </c>
      <c r="E108" s="24">
        <v>3</v>
      </c>
      <c r="F108" s="25">
        <v>8000</v>
      </c>
      <c r="G108" s="25">
        <f t="shared" si="46"/>
        <v>24000</v>
      </c>
      <c r="H108" s="268">
        <f t="shared" si="47"/>
        <v>40.689000406890003</v>
      </c>
      <c r="I108" s="642">
        <f t="shared" si="48"/>
        <v>720</v>
      </c>
      <c r="J108" s="642">
        <f t="shared" si="51"/>
        <v>550</v>
      </c>
      <c r="K108" s="642">
        <f t="shared" si="49"/>
        <v>24000</v>
      </c>
    </row>
    <row r="109" spans="1:11" ht="28.5" x14ac:dyDescent="0.25">
      <c r="A109" s="22">
        <v>8</v>
      </c>
      <c r="B109" s="26" t="s">
        <v>494</v>
      </c>
      <c r="C109" s="23" t="s">
        <v>28</v>
      </c>
      <c r="D109" s="24">
        <v>1</v>
      </c>
      <c r="E109" s="24">
        <v>3</v>
      </c>
      <c r="F109" s="25">
        <v>8000</v>
      </c>
      <c r="G109" s="25">
        <f t="shared" si="46"/>
        <v>24000</v>
      </c>
      <c r="H109" s="268">
        <f t="shared" si="47"/>
        <v>40.689000406890003</v>
      </c>
      <c r="I109" s="642">
        <f t="shared" si="48"/>
        <v>720</v>
      </c>
      <c r="J109" s="642">
        <f t="shared" si="51"/>
        <v>550</v>
      </c>
      <c r="K109" s="642">
        <f t="shared" si="49"/>
        <v>24000</v>
      </c>
    </row>
    <row r="110" spans="1:11" ht="20.25" customHeight="1" x14ac:dyDescent="0.25">
      <c r="A110" s="22">
        <v>9</v>
      </c>
      <c r="B110" s="26" t="s">
        <v>318</v>
      </c>
      <c r="C110" s="23" t="s">
        <v>28</v>
      </c>
      <c r="D110" s="24">
        <v>3</v>
      </c>
      <c r="E110" s="24">
        <v>3</v>
      </c>
      <c r="F110" s="25">
        <v>5000</v>
      </c>
      <c r="G110" s="25">
        <f t="shared" si="46"/>
        <v>45000</v>
      </c>
      <c r="H110" s="268">
        <f t="shared" si="47"/>
        <v>76.29187576291875</v>
      </c>
      <c r="I110" s="642">
        <f t="shared" si="48"/>
        <v>1350</v>
      </c>
      <c r="J110" s="642">
        <f>450*D110</f>
        <v>1350</v>
      </c>
      <c r="K110" s="642">
        <f t="shared" si="49"/>
        <v>15000</v>
      </c>
    </row>
    <row r="111" spans="1:11" ht="20.25" customHeight="1" x14ac:dyDescent="0.25">
      <c r="A111" s="22">
        <v>10</v>
      </c>
      <c r="B111" s="26" t="s">
        <v>319</v>
      </c>
      <c r="C111" s="23" t="s">
        <v>28</v>
      </c>
      <c r="D111" s="24">
        <v>2</v>
      </c>
      <c r="E111" s="24">
        <v>3</v>
      </c>
      <c r="F111" s="25">
        <v>5000</v>
      </c>
      <c r="G111" s="25">
        <f t="shared" si="46"/>
        <v>30000</v>
      </c>
      <c r="H111" s="268">
        <f t="shared" si="47"/>
        <v>50.8612505086125</v>
      </c>
      <c r="I111" s="642">
        <f t="shared" si="48"/>
        <v>900</v>
      </c>
      <c r="J111" s="642">
        <f t="shared" ref="J111:J115" si="52">450*D111</f>
        <v>900</v>
      </c>
      <c r="K111" s="642">
        <f t="shared" si="49"/>
        <v>15000</v>
      </c>
    </row>
    <row r="112" spans="1:11" ht="20.25" customHeight="1" x14ac:dyDescent="0.25">
      <c r="A112" s="22">
        <v>11</v>
      </c>
      <c r="B112" s="189" t="s">
        <v>1471</v>
      </c>
      <c r="C112" s="225" t="s">
        <v>28</v>
      </c>
      <c r="D112" s="226">
        <v>1</v>
      </c>
      <c r="E112" s="226">
        <v>3</v>
      </c>
      <c r="F112" s="227">
        <v>5000</v>
      </c>
      <c r="G112" s="25">
        <f t="shared" si="46"/>
        <v>15000</v>
      </c>
      <c r="H112" s="268">
        <f t="shared" si="47"/>
        <v>25.43062525430625</v>
      </c>
      <c r="I112" s="642">
        <f t="shared" si="48"/>
        <v>450</v>
      </c>
      <c r="J112" s="642">
        <f t="shared" si="52"/>
        <v>450</v>
      </c>
      <c r="K112" s="642">
        <f t="shared" si="49"/>
        <v>15000</v>
      </c>
    </row>
    <row r="113" spans="1:11" ht="20.25" customHeight="1" x14ac:dyDescent="0.25">
      <c r="A113" s="22">
        <v>12</v>
      </c>
      <c r="B113" s="189" t="s">
        <v>1472</v>
      </c>
      <c r="C113" s="225" t="s">
        <v>28</v>
      </c>
      <c r="D113" s="226">
        <v>1</v>
      </c>
      <c r="E113" s="226">
        <v>3</v>
      </c>
      <c r="F113" s="227">
        <v>5000</v>
      </c>
      <c r="G113" s="25">
        <f t="shared" si="46"/>
        <v>15000</v>
      </c>
      <c r="H113" s="268">
        <f t="shared" si="47"/>
        <v>25.43062525430625</v>
      </c>
      <c r="I113" s="642">
        <f t="shared" si="48"/>
        <v>450</v>
      </c>
      <c r="J113" s="642">
        <f t="shared" si="52"/>
        <v>450</v>
      </c>
      <c r="K113" s="642">
        <f t="shared" si="49"/>
        <v>15000</v>
      </c>
    </row>
    <row r="114" spans="1:11" ht="20.25" customHeight="1" x14ac:dyDescent="0.25">
      <c r="A114" s="22">
        <v>13</v>
      </c>
      <c r="B114" s="26" t="s">
        <v>320</v>
      </c>
      <c r="C114" s="23" t="s">
        <v>28</v>
      </c>
      <c r="D114" s="24">
        <v>1</v>
      </c>
      <c r="E114" s="24">
        <v>3</v>
      </c>
      <c r="F114" s="25">
        <v>5000</v>
      </c>
      <c r="G114" s="25">
        <f t="shared" si="46"/>
        <v>15000</v>
      </c>
      <c r="H114" s="268">
        <f t="shared" si="47"/>
        <v>25.43062525430625</v>
      </c>
      <c r="I114" s="642">
        <f t="shared" si="48"/>
        <v>450</v>
      </c>
      <c r="J114" s="642">
        <f t="shared" si="52"/>
        <v>450</v>
      </c>
      <c r="K114" s="642">
        <f t="shared" si="49"/>
        <v>15000</v>
      </c>
    </row>
    <row r="115" spans="1:11" ht="20.25" customHeight="1" x14ac:dyDescent="0.25">
      <c r="A115" s="22">
        <v>14</v>
      </c>
      <c r="B115" s="26" t="s">
        <v>321</v>
      </c>
      <c r="C115" s="23" t="s">
        <v>28</v>
      </c>
      <c r="D115" s="24">
        <v>1</v>
      </c>
      <c r="E115" s="24">
        <v>3</v>
      </c>
      <c r="F115" s="25">
        <v>5000</v>
      </c>
      <c r="G115" s="25">
        <f t="shared" si="46"/>
        <v>15000</v>
      </c>
      <c r="H115" s="268">
        <f t="shared" si="47"/>
        <v>25.43062525430625</v>
      </c>
      <c r="I115" s="642">
        <f t="shared" si="48"/>
        <v>450</v>
      </c>
      <c r="J115" s="642">
        <f t="shared" si="52"/>
        <v>450</v>
      </c>
      <c r="K115" s="642">
        <f t="shared" si="49"/>
        <v>15000</v>
      </c>
    </row>
    <row r="116" spans="1:11" ht="20.25" customHeight="1" x14ac:dyDescent="0.25">
      <c r="A116" s="22">
        <v>15</v>
      </c>
      <c r="B116" s="26" t="s">
        <v>1360</v>
      </c>
      <c r="C116" s="23" t="s">
        <v>28</v>
      </c>
      <c r="D116" s="24">
        <v>3</v>
      </c>
      <c r="E116" s="24">
        <v>3</v>
      </c>
      <c r="F116" s="25">
        <v>12500</v>
      </c>
      <c r="G116" s="25">
        <f t="shared" si="46"/>
        <v>112500</v>
      </c>
      <c r="H116" s="268">
        <f t="shared" si="47"/>
        <v>190.72968940729689</v>
      </c>
      <c r="I116" s="642">
        <f t="shared" si="48"/>
        <v>3375</v>
      </c>
      <c r="J116" s="642">
        <f>1050*D116</f>
        <v>3150</v>
      </c>
      <c r="K116" s="642">
        <f t="shared" si="49"/>
        <v>37500</v>
      </c>
    </row>
    <row r="117" spans="1:11" ht="20.25" customHeight="1" x14ac:dyDescent="0.25">
      <c r="A117" s="22">
        <v>16</v>
      </c>
      <c r="B117" s="26" t="s">
        <v>495</v>
      </c>
      <c r="C117" s="23" t="s">
        <v>28</v>
      </c>
      <c r="D117" s="24">
        <v>2</v>
      </c>
      <c r="E117" s="24">
        <v>3</v>
      </c>
      <c r="F117" s="25">
        <v>25000</v>
      </c>
      <c r="G117" s="25">
        <f t="shared" si="46"/>
        <v>150000</v>
      </c>
      <c r="H117" s="268">
        <f t="shared" si="47"/>
        <v>254.3062525430625</v>
      </c>
      <c r="I117" s="642">
        <f t="shared" si="48"/>
        <v>4500</v>
      </c>
      <c r="J117" s="642">
        <f>1600*D117</f>
        <v>3200</v>
      </c>
      <c r="K117" s="642">
        <f t="shared" si="49"/>
        <v>75000</v>
      </c>
    </row>
    <row r="118" spans="1:11" ht="20.25" customHeight="1" x14ac:dyDescent="0.25">
      <c r="A118" s="22">
        <v>17</v>
      </c>
      <c r="B118" s="26" t="s">
        <v>271</v>
      </c>
      <c r="C118" s="23" t="s">
        <v>28</v>
      </c>
      <c r="D118" s="24">
        <v>2</v>
      </c>
      <c r="E118" s="24">
        <v>3</v>
      </c>
      <c r="F118" s="25">
        <v>0</v>
      </c>
      <c r="G118" s="25">
        <f t="shared" si="46"/>
        <v>0</v>
      </c>
      <c r="H118" s="268">
        <f t="shared" si="47"/>
        <v>0</v>
      </c>
      <c r="I118" s="642">
        <f t="shared" si="48"/>
        <v>0</v>
      </c>
      <c r="J118" s="642">
        <f>H118*0.03</f>
        <v>0</v>
      </c>
      <c r="K118" s="642">
        <f t="shared" si="49"/>
        <v>0</v>
      </c>
    </row>
    <row r="119" spans="1:11" ht="20.25" customHeight="1" x14ac:dyDescent="0.25">
      <c r="A119" s="22">
        <v>18</v>
      </c>
      <c r="B119" s="26" t="s">
        <v>37</v>
      </c>
      <c r="C119" s="23" t="s">
        <v>28</v>
      </c>
      <c r="D119" s="24">
        <v>1</v>
      </c>
      <c r="E119" s="24">
        <v>3</v>
      </c>
      <c r="F119" s="25">
        <v>3000</v>
      </c>
      <c r="G119" s="25">
        <f t="shared" si="46"/>
        <v>9000</v>
      </c>
      <c r="H119" s="268">
        <f t="shared" si="47"/>
        <v>15.258375152583751</v>
      </c>
      <c r="I119" s="642">
        <f t="shared" si="48"/>
        <v>270</v>
      </c>
      <c r="J119" s="642">
        <f>350*D119</f>
        <v>350</v>
      </c>
      <c r="K119" s="642">
        <f t="shared" si="49"/>
        <v>9000</v>
      </c>
    </row>
    <row r="120" spans="1:11" ht="20.25" customHeight="1" x14ac:dyDescent="0.25">
      <c r="A120" s="22">
        <v>19</v>
      </c>
      <c r="B120" s="26" t="s">
        <v>38</v>
      </c>
      <c r="C120" s="23" t="s">
        <v>28</v>
      </c>
      <c r="D120" s="24">
        <f>SUM(D102:D119)</f>
        <v>25</v>
      </c>
      <c r="E120" s="24">
        <v>3</v>
      </c>
      <c r="F120" s="25">
        <v>6500</v>
      </c>
      <c r="G120" s="25">
        <f t="shared" si="46"/>
        <v>487500</v>
      </c>
      <c r="H120" s="268">
        <f t="shared" si="47"/>
        <v>826.49532076495314</v>
      </c>
      <c r="I120" s="642">
        <v>0</v>
      </c>
      <c r="J120" s="642">
        <v>0</v>
      </c>
      <c r="K120" s="642">
        <v>0</v>
      </c>
    </row>
    <row r="121" spans="1:11" ht="20.25" customHeight="1" x14ac:dyDescent="0.25">
      <c r="A121" s="22">
        <v>20</v>
      </c>
      <c r="B121" s="26" t="s">
        <v>496</v>
      </c>
      <c r="C121" s="23" t="s">
        <v>28</v>
      </c>
      <c r="D121" s="24">
        <v>130</v>
      </c>
      <c r="E121" s="24">
        <v>3</v>
      </c>
      <c r="F121" s="25">
        <v>800</v>
      </c>
      <c r="G121" s="25">
        <f t="shared" si="46"/>
        <v>312000</v>
      </c>
      <c r="H121" s="268">
        <f t="shared" si="47"/>
        <v>528.95700528957002</v>
      </c>
      <c r="I121" s="642">
        <v>0</v>
      </c>
      <c r="J121" s="642">
        <v>0</v>
      </c>
      <c r="K121" s="642">
        <v>0</v>
      </c>
    </row>
    <row r="122" spans="1:11" ht="20.25" customHeight="1" x14ac:dyDescent="0.25">
      <c r="A122" s="22">
        <v>21</v>
      </c>
      <c r="B122" s="26" t="s">
        <v>273</v>
      </c>
      <c r="C122" s="23" t="s">
        <v>29</v>
      </c>
      <c r="D122" s="24">
        <v>20</v>
      </c>
      <c r="E122" s="24">
        <v>3</v>
      </c>
      <c r="F122" s="25">
        <v>800</v>
      </c>
      <c r="G122" s="25">
        <f t="shared" si="46"/>
        <v>48000</v>
      </c>
      <c r="H122" s="268">
        <f t="shared" si="47"/>
        <v>81.378000813780005</v>
      </c>
      <c r="I122" s="642">
        <v>0</v>
      </c>
      <c r="J122" s="642">
        <v>0</v>
      </c>
      <c r="K122" s="642">
        <v>0</v>
      </c>
    </row>
    <row r="123" spans="1:11" ht="20.25" customHeight="1" thickBot="1" x14ac:dyDescent="0.3">
      <c r="A123" s="22">
        <v>22</v>
      </c>
      <c r="B123" s="26" t="s">
        <v>1281</v>
      </c>
      <c r="C123" s="23" t="s">
        <v>28</v>
      </c>
      <c r="D123" s="24">
        <v>10</v>
      </c>
      <c r="E123" s="24">
        <v>2</v>
      </c>
      <c r="F123" s="25">
        <v>1500</v>
      </c>
      <c r="G123" s="25">
        <f t="shared" si="46"/>
        <v>30000</v>
      </c>
      <c r="H123" s="268">
        <f t="shared" si="47"/>
        <v>50.8612505086125</v>
      </c>
      <c r="I123" s="642">
        <v>0</v>
      </c>
      <c r="J123" s="642">
        <v>0</v>
      </c>
      <c r="K123" s="642">
        <v>0</v>
      </c>
    </row>
    <row r="124" spans="1:11" s="34" customFormat="1" ht="18.75" thickBot="1" x14ac:dyDescent="0.3">
      <c r="A124" s="341"/>
      <c r="B124" s="342" t="s">
        <v>1399</v>
      </c>
      <c r="C124" s="343"/>
      <c r="D124" s="343"/>
      <c r="E124" s="343"/>
      <c r="F124" s="344"/>
      <c r="G124" s="344">
        <f>SUM(G102:G123)</f>
        <v>1467000</v>
      </c>
      <c r="H124" s="345">
        <f>SUM(H102:H123)</f>
        <v>2487.1151498711515</v>
      </c>
      <c r="I124" s="263">
        <f>SUM(I102:I123)</f>
        <v>17685</v>
      </c>
      <c r="J124" s="263">
        <f>SUM(J102:J123)</f>
        <v>15050</v>
      </c>
      <c r="K124" s="12"/>
    </row>
    <row r="125" spans="1:11" ht="18" x14ac:dyDescent="0.25">
      <c r="A125" s="29"/>
      <c r="B125" s="205" t="s">
        <v>401</v>
      </c>
      <c r="C125" s="29"/>
      <c r="D125" s="29"/>
      <c r="E125" s="23"/>
      <c r="F125" s="29"/>
      <c r="G125" s="29"/>
      <c r="H125" s="268"/>
      <c r="I125" s="12"/>
      <c r="J125" s="12"/>
      <c r="K125" s="12"/>
    </row>
    <row r="126" spans="1:11" x14ac:dyDescent="0.25">
      <c r="A126" s="22">
        <v>1</v>
      </c>
      <c r="B126" s="26" t="s">
        <v>452</v>
      </c>
      <c r="C126" s="23" t="s">
        <v>28</v>
      </c>
      <c r="D126" s="24">
        <v>8</v>
      </c>
      <c r="E126" s="23">
        <v>3</v>
      </c>
      <c r="F126" s="25">
        <v>3000</v>
      </c>
      <c r="G126" s="25">
        <f t="shared" ref="G126:G136" si="53">D126*E126*F126</f>
        <v>72000</v>
      </c>
      <c r="H126" s="268">
        <f t="shared" ref="H126:H136" si="54">G126/589.84</f>
        <v>122.06700122067001</v>
      </c>
      <c r="I126" s="642">
        <f t="shared" ref="I126:I136" si="55">G126*0.03</f>
        <v>2160</v>
      </c>
      <c r="J126" s="642">
        <f>350*D126</f>
        <v>2800</v>
      </c>
      <c r="K126" s="642">
        <f t="shared" ref="K126:K136" si="56">G126/D126</f>
        <v>9000</v>
      </c>
    </row>
    <row r="127" spans="1:11" x14ac:dyDescent="0.25">
      <c r="A127" s="22">
        <v>2</v>
      </c>
      <c r="B127" s="26" t="s">
        <v>456</v>
      </c>
      <c r="C127" s="23" t="s">
        <v>28</v>
      </c>
      <c r="D127" s="24">
        <v>8</v>
      </c>
      <c r="E127" s="23">
        <v>3</v>
      </c>
      <c r="F127" s="25">
        <v>3000</v>
      </c>
      <c r="G127" s="25">
        <f t="shared" si="53"/>
        <v>72000</v>
      </c>
      <c r="H127" s="268">
        <f t="shared" si="54"/>
        <v>122.06700122067001</v>
      </c>
      <c r="I127" s="642">
        <f t="shared" si="55"/>
        <v>2160</v>
      </c>
      <c r="J127" s="642">
        <f t="shared" ref="J127:J133" si="57">350*D127</f>
        <v>2800</v>
      </c>
      <c r="K127" s="642">
        <f t="shared" si="56"/>
        <v>9000</v>
      </c>
    </row>
    <row r="128" spans="1:11" x14ac:dyDescent="0.25">
      <c r="A128" s="22">
        <v>3</v>
      </c>
      <c r="B128" s="26" t="s">
        <v>460</v>
      </c>
      <c r="C128" s="23" t="s">
        <v>28</v>
      </c>
      <c r="D128" s="24">
        <v>12</v>
      </c>
      <c r="E128" s="23">
        <v>3</v>
      </c>
      <c r="F128" s="25">
        <v>3000</v>
      </c>
      <c r="G128" s="25">
        <f t="shared" si="53"/>
        <v>108000</v>
      </c>
      <c r="H128" s="268">
        <f t="shared" si="54"/>
        <v>183.100501831005</v>
      </c>
      <c r="I128" s="642">
        <f t="shared" si="55"/>
        <v>3240</v>
      </c>
      <c r="J128" s="642">
        <f t="shared" si="57"/>
        <v>4200</v>
      </c>
      <c r="K128" s="642">
        <f t="shared" si="56"/>
        <v>9000</v>
      </c>
    </row>
    <row r="129" spans="1:11" x14ac:dyDescent="0.25">
      <c r="A129" s="22">
        <v>4</v>
      </c>
      <c r="B129" s="26" t="s">
        <v>464</v>
      </c>
      <c r="C129" s="23" t="s">
        <v>28</v>
      </c>
      <c r="D129" s="24">
        <v>12</v>
      </c>
      <c r="E129" s="23">
        <v>3</v>
      </c>
      <c r="F129" s="25">
        <v>3000</v>
      </c>
      <c r="G129" s="25">
        <f t="shared" si="53"/>
        <v>108000</v>
      </c>
      <c r="H129" s="268">
        <f t="shared" si="54"/>
        <v>183.100501831005</v>
      </c>
      <c r="I129" s="642">
        <f t="shared" si="55"/>
        <v>3240</v>
      </c>
      <c r="J129" s="642">
        <f t="shared" si="57"/>
        <v>4200</v>
      </c>
      <c r="K129" s="642">
        <f t="shared" si="56"/>
        <v>9000</v>
      </c>
    </row>
    <row r="130" spans="1:11" x14ac:dyDescent="0.25">
      <c r="A130" s="22">
        <v>5</v>
      </c>
      <c r="B130" s="26" t="s">
        <v>497</v>
      </c>
      <c r="C130" s="23" t="s">
        <v>28</v>
      </c>
      <c r="D130" s="24">
        <v>8</v>
      </c>
      <c r="E130" s="23">
        <v>3</v>
      </c>
      <c r="F130" s="25">
        <v>3000</v>
      </c>
      <c r="G130" s="25">
        <f t="shared" si="53"/>
        <v>72000</v>
      </c>
      <c r="H130" s="268">
        <f t="shared" si="54"/>
        <v>122.06700122067001</v>
      </c>
      <c r="I130" s="642">
        <f t="shared" si="55"/>
        <v>2160</v>
      </c>
      <c r="J130" s="642">
        <f t="shared" si="57"/>
        <v>2800</v>
      </c>
      <c r="K130" s="642">
        <f t="shared" si="56"/>
        <v>9000</v>
      </c>
    </row>
    <row r="131" spans="1:11" x14ac:dyDescent="0.25">
      <c r="A131" s="22">
        <v>6</v>
      </c>
      <c r="B131" s="26" t="s">
        <v>472</v>
      </c>
      <c r="C131" s="23" t="s">
        <v>28</v>
      </c>
      <c r="D131" s="24">
        <v>14</v>
      </c>
      <c r="E131" s="23">
        <v>3</v>
      </c>
      <c r="F131" s="25">
        <v>3000</v>
      </c>
      <c r="G131" s="25">
        <f t="shared" si="53"/>
        <v>126000</v>
      </c>
      <c r="H131" s="268">
        <f t="shared" si="54"/>
        <v>213.61725213617251</v>
      </c>
      <c r="I131" s="642">
        <f t="shared" si="55"/>
        <v>3780</v>
      </c>
      <c r="J131" s="642">
        <f t="shared" si="57"/>
        <v>4900</v>
      </c>
      <c r="K131" s="642">
        <f t="shared" si="56"/>
        <v>9000</v>
      </c>
    </row>
    <row r="132" spans="1:11" x14ac:dyDescent="0.25">
      <c r="A132" s="22">
        <v>7</v>
      </c>
      <c r="B132" s="26" t="s">
        <v>476</v>
      </c>
      <c r="C132" s="23" t="s">
        <v>28</v>
      </c>
      <c r="D132" s="24">
        <v>4</v>
      </c>
      <c r="E132" s="23">
        <v>3</v>
      </c>
      <c r="F132" s="25">
        <v>3000</v>
      </c>
      <c r="G132" s="25">
        <f t="shared" si="53"/>
        <v>36000</v>
      </c>
      <c r="H132" s="268">
        <f t="shared" si="54"/>
        <v>61.033500610335004</v>
      </c>
      <c r="I132" s="642">
        <f t="shared" si="55"/>
        <v>1080</v>
      </c>
      <c r="J132" s="642">
        <f t="shared" si="57"/>
        <v>1400</v>
      </c>
      <c r="K132" s="642">
        <f t="shared" si="56"/>
        <v>9000</v>
      </c>
    </row>
    <row r="133" spans="1:11" x14ac:dyDescent="0.25">
      <c r="A133" s="22">
        <v>8</v>
      </c>
      <c r="B133" s="26" t="s">
        <v>480</v>
      </c>
      <c r="C133" s="23" t="s">
        <v>28</v>
      </c>
      <c r="D133" s="24">
        <v>8</v>
      </c>
      <c r="E133" s="23">
        <v>3</v>
      </c>
      <c r="F133" s="25">
        <v>3000</v>
      </c>
      <c r="G133" s="25">
        <f t="shared" si="53"/>
        <v>72000</v>
      </c>
      <c r="H133" s="268">
        <f t="shared" si="54"/>
        <v>122.06700122067001</v>
      </c>
      <c r="I133" s="642">
        <f t="shared" si="55"/>
        <v>2160</v>
      </c>
      <c r="J133" s="642">
        <f t="shared" si="57"/>
        <v>2800</v>
      </c>
      <c r="K133" s="642">
        <f t="shared" si="56"/>
        <v>9000</v>
      </c>
    </row>
    <row r="134" spans="1:11" x14ac:dyDescent="0.25">
      <c r="A134" s="22">
        <v>9</v>
      </c>
      <c r="B134" s="26" t="s">
        <v>43</v>
      </c>
      <c r="C134" s="23" t="s">
        <v>28</v>
      </c>
      <c r="D134" s="24">
        <v>8</v>
      </c>
      <c r="E134" s="23">
        <v>3</v>
      </c>
      <c r="F134" s="25">
        <v>5000</v>
      </c>
      <c r="G134" s="25">
        <f t="shared" si="53"/>
        <v>120000</v>
      </c>
      <c r="H134" s="268">
        <f t="shared" si="54"/>
        <v>203.44500203445</v>
      </c>
      <c r="I134" s="642">
        <f t="shared" si="55"/>
        <v>3600</v>
      </c>
      <c r="J134" s="642">
        <f>450*D134</f>
        <v>3600</v>
      </c>
      <c r="K134" s="642">
        <f t="shared" si="56"/>
        <v>15000</v>
      </c>
    </row>
    <row r="135" spans="1:11" x14ac:dyDescent="0.25">
      <c r="A135" s="22">
        <v>10</v>
      </c>
      <c r="B135" s="26" t="s">
        <v>39</v>
      </c>
      <c r="C135" s="23" t="s">
        <v>28</v>
      </c>
      <c r="D135" s="24">
        <v>8</v>
      </c>
      <c r="E135" s="23">
        <v>3</v>
      </c>
      <c r="F135" s="25">
        <v>2000</v>
      </c>
      <c r="G135" s="25">
        <f t="shared" si="53"/>
        <v>48000</v>
      </c>
      <c r="H135" s="268">
        <f t="shared" si="54"/>
        <v>81.378000813780005</v>
      </c>
      <c r="I135" s="642">
        <f t="shared" si="55"/>
        <v>1440</v>
      </c>
      <c r="J135" s="642">
        <f>350*D135</f>
        <v>2800</v>
      </c>
      <c r="K135" s="642">
        <f t="shared" si="56"/>
        <v>6000</v>
      </c>
    </row>
    <row r="136" spans="1:11" ht="16.5" thickBot="1" x14ac:dyDescent="0.3">
      <c r="A136" s="22">
        <v>11</v>
      </c>
      <c r="B136" s="26" t="s">
        <v>44</v>
      </c>
      <c r="C136" s="23" t="s">
        <v>28</v>
      </c>
      <c r="D136" s="24">
        <f>SUM(D126:D135)</f>
        <v>90</v>
      </c>
      <c r="E136" s="23">
        <v>3</v>
      </c>
      <c r="F136" s="25">
        <v>3000</v>
      </c>
      <c r="G136" s="25">
        <f t="shared" si="53"/>
        <v>810000</v>
      </c>
      <c r="H136" s="268">
        <f t="shared" si="54"/>
        <v>1373.2537637325377</v>
      </c>
      <c r="I136" s="642">
        <f t="shared" si="55"/>
        <v>24300</v>
      </c>
      <c r="J136" s="642">
        <f>350*D136</f>
        <v>31500</v>
      </c>
      <c r="K136" s="642">
        <f t="shared" si="56"/>
        <v>9000</v>
      </c>
    </row>
    <row r="137" spans="1:11" ht="18.75" thickBot="1" x14ac:dyDescent="0.3">
      <c r="A137" s="341"/>
      <c r="B137" s="342" t="s">
        <v>1399</v>
      </c>
      <c r="C137" s="343"/>
      <c r="D137" s="343"/>
      <c r="E137" s="343"/>
      <c r="F137" s="344"/>
      <c r="G137" s="344">
        <f>SUM(G126:G136)</f>
        <v>1644000</v>
      </c>
      <c r="H137" s="345">
        <f>SUM(H126:H136)</f>
        <v>2787.1965278719654</v>
      </c>
      <c r="I137" s="263">
        <f>SUM(I126:I136)</f>
        <v>49320</v>
      </c>
      <c r="J137" s="263">
        <f>SUM(J126:J136)</f>
        <v>63800</v>
      </c>
      <c r="K137" s="12"/>
    </row>
    <row r="138" spans="1:11" ht="18" x14ac:dyDescent="0.25">
      <c r="A138" s="29"/>
      <c r="B138" s="205" t="s">
        <v>402</v>
      </c>
      <c r="C138" s="29"/>
      <c r="D138" s="29"/>
      <c r="E138" s="29"/>
      <c r="F138" s="29"/>
      <c r="G138" s="29"/>
      <c r="H138" s="268"/>
      <c r="I138" s="12"/>
      <c r="J138" s="12"/>
      <c r="K138" s="12"/>
    </row>
    <row r="139" spans="1:11" x14ac:dyDescent="0.25">
      <c r="A139" s="22">
        <v>1</v>
      </c>
      <c r="B139" s="26" t="s">
        <v>453</v>
      </c>
      <c r="C139" s="23" t="s">
        <v>28</v>
      </c>
      <c r="D139" s="24">
        <v>4</v>
      </c>
      <c r="E139" s="23">
        <v>1</v>
      </c>
      <c r="F139" s="25">
        <v>2500</v>
      </c>
      <c r="G139" s="25">
        <f t="shared" ref="G139:G148" si="58">D139*E139*F139</f>
        <v>10000</v>
      </c>
      <c r="H139" s="268">
        <f t="shared" ref="H139:H148" si="59">G139/589.84</f>
        <v>16.9537501695375</v>
      </c>
      <c r="I139" s="642">
        <f>G139*0.03</f>
        <v>300</v>
      </c>
      <c r="J139" s="642">
        <f>125*D139</f>
        <v>500</v>
      </c>
      <c r="K139" s="642">
        <f>G139/D139</f>
        <v>2500</v>
      </c>
    </row>
    <row r="140" spans="1:11" x14ac:dyDescent="0.25">
      <c r="A140" s="22">
        <v>2</v>
      </c>
      <c r="B140" s="26" t="s">
        <v>498</v>
      </c>
      <c r="C140" s="23" t="s">
        <v>28</v>
      </c>
      <c r="D140" s="24">
        <v>4</v>
      </c>
      <c r="E140" s="23">
        <v>1</v>
      </c>
      <c r="F140" s="25">
        <v>2500</v>
      </c>
      <c r="G140" s="25">
        <f t="shared" si="58"/>
        <v>10000</v>
      </c>
      <c r="H140" s="268">
        <f t="shared" si="59"/>
        <v>16.9537501695375</v>
      </c>
      <c r="I140" s="642">
        <f t="shared" ref="I140:I148" si="60">G140*0.03</f>
        <v>300</v>
      </c>
      <c r="J140" s="642">
        <f t="shared" ref="J140:J146" si="61">125*D140</f>
        <v>500</v>
      </c>
      <c r="K140" s="642">
        <f t="shared" ref="K140:K148" si="62">G140/D140</f>
        <v>2500</v>
      </c>
    </row>
    <row r="141" spans="1:11" x14ac:dyDescent="0.25">
      <c r="A141" s="22">
        <v>3</v>
      </c>
      <c r="B141" s="26" t="s">
        <v>499</v>
      </c>
      <c r="C141" s="23" t="s">
        <v>28</v>
      </c>
      <c r="D141" s="24">
        <v>6</v>
      </c>
      <c r="E141" s="23">
        <v>1</v>
      </c>
      <c r="F141" s="25">
        <v>2500</v>
      </c>
      <c r="G141" s="25">
        <f t="shared" si="58"/>
        <v>15000</v>
      </c>
      <c r="H141" s="268">
        <f t="shared" si="59"/>
        <v>25.43062525430625</v>
      </c>
      <c r="I141" s="642">
        <f t="shared" si="60"/>
        <v>450</v>
      </c>
      <c r="J141" s="642">
        <f t="shared" si="61"/>
        <v>750</v>
      </c>
      <c r="K141" s="642">
        <f t="shared" si="62"/>
        <v>2500</v>
      </c>
    </row>
    <row r="142" spans="1:11" x14ac:dyDescent="0.25">
      <c r="A142" s="22">
        <v>4</v>
      </c>
      <c r="B142" s="26" t="s">
        <v>465</v>
      </c>
      <c r="C142" s="23" t="s">
        <v>28</v>
      </c>
      <c r="D142" s="24">
        <v>6</v>
      </c>
      <c r="E142" s="23">
        <v>1</v>
      </c>
      <c r="F142" s="25">
        <v>2500</v>
      </c>
      <c r="G142" s="25">
        <f t="shared" si="58"/>
        <v>15000</v>
      </c>
      <c r="H142" s="268">
        <f t="shared" si="59"/>
        <v>25.43062525430625</v>
      </c>
      <c r="I142" s="642">
        <f t="shared" si="60"/>
        <v>450</v>
      </c>
      <c r="J142" s="642">
        <f t="shared" si="61"/>
        <v>750</v>
      </c>
      <c r="K142" s="642">
        <f t="shared" si="62"/>
        <v>2500</v>
      </c>
    </row>
    <row r="143" spans="1:11" x14ac:dyDescent="0.25">
      <c r="A143" s="22">
        <v>5</v>
      </c>
      <c r="B143" s="26" t="s">
        <v>497</v>
      </c>
      <c r="C143" s="23" t="s">
        <v>28</v>
      </c>
      <c r="D143" s="24">
        <v>4</v>
      </c>
      <c r="E143" s="23">
        <v>1</v>
      </c>
      <c r="F143" s="25">
        <v>2500</v>
      </c>
      <c r="G143" s="25">
        <f t="shared" si="58"/>
        <v>10000</v>
      </c>
      <c r="H143" s="268">
        <f t="shared" si="59"/>
        <v>16.9537501695375</v>
      </c>
      <c r="I143" s="642">
        <f t="shared" si="60"/>
        <v>300</v>
      </c>
      <c r="J143" s="642">
        <f t="shared" si="61"/>
        <v>500</v>
      </c>
      <c r="K143" s="642">
        <f t="shared" si="62"/>
        <v>2500</v>
      </c>
    </row>
    <row r="144" spans="1:11" x14ac:dyDescent="0.25">
      <c r="A144" s="22">
        <v>6</v>
      </c>
      <c r="B144" s="26" t="s">
        <v>500</v>
      </c>
      <c r="C144" s="23" t="s">
        <v>28</v>
      </c>
      <c r="D144" s="24">
        <v>7</v>
      </c>
      <c r="E144" s="23">
        <v>1</v>
      </c>
      <c r="F144" s="25">
        <v>2500</v>
      </c>
      <c r="G144" s="25">
        <f t="shared" si="58"/>
        <v>17500</v>
      </c>
      <c r="H144" s="268">
        <f t="shared" si="59"/>
        <v>29.669062796690625</v>
      </c>
      <c r="I144" s="642">
        <f t="shared" si="60"/>
        <v>525</v>
      </c>
      <c r="J144" s="642">
        <f>125*D144</f>
        <v>875</v>
      </c>
      <c r="K144" s="642">
        <f t="shared" si="62"/>
        <v>2500</v>
      </c>
    </row>
    <row r="145" spans="1:11" x14ac:dyDescent="0.25">
      <c r="A145" s="22">
        <v>7</v>
      </c>
      <c r="B145" s="26" t="s">
        <v>501</v>
      </c>
      <c r="C145" s="23" t="s">
        <v>28</v>
      </c>
      <c r="D145" s="24">
        <v>2</v>
      </c>
      <c r="E145" s="23">
        <v>1</v>
      </c>
      <c r="F145" s="25">
        <v>2500</v>
      </c>
      <c r="G145" s="25">
        <f t="shared" si="58"/>
        <v>5000</v>
      </c>
      <c r="H145" s="268">
        <f t="shared" si="59"/>
        <v>8.47687508476875</v>
      </c>
      <c r="I145" s="642">
        <f t="shared" si="60"/>
        <v>150</v>
      </c>
      <c r="J145" s="642">
        <f t="shared" si="61"/>
        <v>250</v>
      </c>
      <c r="K145" s="642">
        <f t="shared" si="62"/>
        <v>2500</v>
      </c>
    </row>
    <row r="146" spans="1:11" x14ac:dyDescent="0.25">
      <c r="A146" s="22">
        <v>8</v>
      </c>
      <c r="B146" s="26" t="s">
        <v>502</v>
      </c>
      <c r="C146" s="23" t="s">
        <v>28</v>
      </c>
      <c r="D146" s="24">
        <v>4</v>
      </c>
      <c r="E146" s="23">
        <v>1</v>
      </c>
      <c r="F146" s="25">
        <v>2500</v>
      </c>
      <c r="G146" s="25">
        <f t="shared" si="58"/>
        <v>10000</v>
      </c>
      <c r="H146" s="268">
        <f t="shared" si="59"/>
        <v>16.9537501695375</v>
      </c>
      <c r="I146" s="642">
        <f t="shared" si="60"/>
        <v>300</v>
      </c>
      <c r="J146" s="642">
        <f t="shared" si="61"/>
        <v>500</v>
      </c>
      <c r="K146" s="642">
        <f t="shared" si="62"/>
        <v>2500</v>
      </c>
    </row>
    <row r="147" spans="1:11" x14ac:dyDescent="0.25">
      <c r="A147" s="22">
        <v>9</v>
      </c>
      <c r="B147" s="26" t="s">
        <v>43</v>
      </c>
      <c r="C147" s="23" t="s">
        <v>28</v>
      </c>
      <c r="D147" s="24">
        <v>8</v>
      </c>
      <c r="E147" s="23">
        <v>1</v>
      </c>
      <c r="F147" s="25">
        <v>3000</v>
      </c>
      <c r="G147" s="25">
        <f t="shared" si="58"/>
        <v>24000</v>
      </c>
      <c r="H147" s="268">
        <f t="shared" si="59"/>
        <v>40.689000406890003</v>
      </c>
      <c r="I147" s="642">
        <f t="shared" si="60"/>
        <v>720</v>
      </c>
      <c r="J147" s="642">
        <f>350*D147</f>
        <v>2800</v>
      </c>
      <c r="K147" s="642">
        <f t="shared" si="62"/>
        <v>3000</v>
      </c>
    </row>
    <row r="148" spans="1:11" ht="16.5" thickBot="1" x14ac:dyDescent="0.3">
      <c r="A148" s="22">
        <v>10</v>
      </c>
      <c r="B148" s="26" t="s">
        <v>48</v>
      </c>
      <c r="C148" s="23" t="s">
        <v>28</v>
      </c>
      <c r="D148" s="24">
        <f>SUM(D139:D147)</f>
        <v>45</v>
      </c>
      <c r="E148" s="23">
        <v>1</v>
      </c>
      <c r="F148" s="25">
        <v>3000</v>
      </c>
      <c r="G148" s="25">
        <f t="shared" si="58"/>
        <v>135000</v>
      </c>
      <c r="H148" s="268">
        <f t="shared" si="59"/>
        <v>228.87562728875625</v>
      </c>
      <c r="I148" s="642">
        <f t="shared" si="60"/>
        <v>4050</v>
      </c>
      <c r="J148" s="642">
        <f>350*D148</f>
        <v>15750</v>
      </c>
      <c r="K148" s="642">
        <f t="shared" si="62"/>
        <v>3000</v>
      </c>
    </row>
    <row r="149" spans="1:11" ht="18.75" thickBot="1" x14ac:dyDescent="0.3">
      <c r="A149" s="341"/>
      <c r="B149" s="342" t="s">
        <v>1399</v>
      </c>
      <c r="C149" s="343"/>
      <c r="D149" s="343"/>
      <c r="E149" s="343"/>
      <c r="F149" s="344"/>
      <c r="G149" s="344">
        <f>SUM(G139:G148)</f>
        <v>251500</v>
      </c>
      <c r="H149" s="345">
        <f>SUM(H139:H148)</f>
        <v>426.38681676386818</v>
      </c>
      <c r="I149" s="263">
        <f>SUM(I139:I148)</f>
        <v>7545</v>
      </c>
      <c r="J149" s="263">
        <f>SUM(J139:J148)</f>
        <v>23175</v>
      </c>
      <c r="K149" s="12"/>
    </row>
    <row r="150" spans="1:11" ht="18.75" thickBot="1" x14ac:dyDescent="0.3">
      <c r="A150" s="780" t="s">
        <v>523</v>
      </c>
      <c r="B150" s="781"/>
      <c r="C150" s="781"/>
      <c r="D150" s="781"/>
      <c r="E150" s="783"/>
      <c r="F150" s="348"/>
      <c r="G150" s="349"/>
      <c r="H150" s="350"/>
      <c r="I150" s="12"/>
      <c r="J150" s="12"/>
      <c r="K150" s="12"/>
    </row>
    <row r="151" spans="1:11" ht="18" x14ac:dyDescent="0.25">
      <c r="A151" s="29"/>
      <c r="B151" s="205" t="s">
        <v>403</v>
      </c>
      <c r="C151" s="29"/>
      <c r="D151" s="29"/>
      <c r="E151" s="29"/>
      <c r="F151" s="29"/>
      <c r="G151" s="29"/>
      <c r="H151" s="268"/>
      <c r="I151" s="12"/>
      <c r="J151" s="12"/>
      <c r="K151" s="12"/>
    </row>
    <row r="152" spans="1:11" x14ac:dyDescent="0.25">
      <c r="A152" s="22">
        <v>1</v>
      </c>
      <c r="B152" s="26" t="s">
        <v>503</v>
      </c>
      <c r="C152" s="23" t="s">
        <v>28</v>
      </c>
      <c r="D152" s="24">
        <v>1</v>
      </c>
      <c r="E152" s="23">
        <v>1</v>
      </c>
      <c r="F152" s="25">
        <v>8000</v>
      </c>
      <c r="G152" s="25">
        <f t="shared" ref="G152:G169" si="63">D152*E152*F152</f>
        <v>8000</v>
      </c>
      <c r="H152" s="268">
        <f t="shared" ref="H152:H169" si="64">G152/589.84</f>
        <v>13.56300013563</v>
      </c>
      <c r="I152" s="642">
        <f t="shared" ref="I152:J168" si="65">G152*0.03</f>
        <v>240</v>
      </c>
      <c r="J152" s="642">
        <f>350*D152</f>
        <v>350</v>
      </c>
      <c r="K152" s="642">
        <f t="shared" ref="K152:K168" si="66">G152/D152</f>
        <v>8000</v>
      </c>
    </row>
    <row r="153" spans="1:11" x14ac:dyDescent="0.25">
      <c r="A153" s="22">
        <v>2</v>
      </c>
      <c r="B153" s="26" t="s">
        <v>504</v>
      </c>
      <c r="C153" s="23" t="s">
        <v>28</v>
      </c>
      <c r="D153" s="24">
        <v>1</v>
      </c>
      <c r="E153" s="23">
        <v>1</v>
      </c>
      <c r="F153" s="25">
        <v>8000</v>
      </c>
      <c r="G153" s="25">
        <f t="shared" si="63"/>
        <v>8000</v>
      </c>
      <c r="H153" s="268">
        <f t="shared" si="64"/>
        <v>13.56300013563</v>
      </c>
      <c r="I153" s="642">
        <f t="shared" si="65"/>
        <v>240</v>
      </c>
      <c r="J153" s="642">
        <f t="shared" ref="J153:J159" si="67">350*D153</f>
        <v>350</v>
      </c>
      <c r="K153" s="642">
        <f t="shared" si="66"/>
        <v>8000</v>
      </c>
    </row>
    <row r="154" spans="1:11" x14ac:dyDescent="0.25">
      <c r="A154" s="22">
        <v>3</v>
      </c>
      <c r="B154" s="26" t="s">
        <v>505</v>
      </c>
      <c r="C154" s="23" t="s">
        <v>28</v>
      </c>
      <c r="D154" s="24">
        <v>1</v>
      </c>
      <c r="E154" s="23">
        <v>1</v>
      </c>
      <c r="F154" s="25">
        <v>8000</v>
      </c>
      <c r="G154" s="25">
        <f t="shared" si="63"/>
        <v>8000</v>
      </c>
      <c r="H154" s="268">
        <f t="shared" si="64"/>
        <v>13.56300013563</v>
      </c>
      <c r="I154" s="642">
        <f t="shared" si="65"/>
        <v>240</v>
      </c>
      <c r="J154" s="642">
        <f t="shared" si="67"/>
        <v>350</v>
      </c>
      <c r="K154" s="642">
        <f t="shared" si="66"/>
        <v>8000</v>
      </c>
    </row>
    <row r="155" spans="1:11" x14ac:dyDescent="0.25">
      <c r="A155" s="22">
        <v>4</v>
      </c>
      <c r="B155" s="26" t="s">
        <v>506</v>
      </c>
      <c r="C155" s="23" t="s">
        <v>28</v>
      </c>
      <c r="D155" s="24">
        <v>1</v>
      </c>
      <c r="E155" s="23">
        <v>1</v>
      </c>
      <c r="F155" s="25">
        <v>5000</v>
      </c>
      <c r="G155" s="25">
        <f t="shared" si="63"/>
        <v>5000</v>
      </c>
      <c r="H155" s="268">
        <f t="shared" si="64"/>
        <v>8.47687508476875</v>
      </c>
      <c r="I155" s="642">
        <f t="shared" si="65"/>
        <v>150</v>
      </c>
      <c r="J155" s="642">
        <f>250*D155</f>
        <v>250</v>
      </c>
      <c r="K155" s="642">
        <f t="shared" si="66"/>
        <v>5000</v>
      </c>
    </row>
    <row r="156" spans="1:11" x14ac:dyDescent="0.25">
      <c r="A156" s="22">
        <v>5</v>
      </c>
      <c r="B156" s="26" t="s">
        <v>507</v>
      </c>
      <c r="C156" s="23" t="s">
        <v>28</v>
      </c>
      <c r="D156" s="24">
        <v>1</v>
      </c>
      <c r="E156" s="23">
        <v>1</v>
      </c>
      <c r="F156" s="25">
        <v>8000</v>
      </c>
      <c r="G156" s="25">
        <f t="shared" si="63"/>
        <v>8000</v>
      </c>
      <c r="H156" s="268">
        <f t="shared" si="64"/>
        <v>13.56300013563</v>
      </c>
      <c r="I156" s="642">
        <f t="shared" si="65"/>
        <v>240</v>
      </c>
      <c r="J156" s="642">
        <f t="shared" si="67"/>
        <v>350</v>
      </c>
      <c r="K156" s="642">
        <f t="shared" si="66"/>
        <v>8000</v>
      </c>
    </row>
    <row r="157" spans="1:11" x14ac:dyDescent="0.25">
      <c r="A157" s="22">
        <v>6</v>
      </c>
      <c r="B157" s="26" t="s">
        <v>508</v>
      </c>
      <c r="C157" s="23" t="s">
        <v>28</v>
      </c>
      <c r="D157" s="24">
        <v>1</v>
      </c>
      <c r="E157" s="23">
        <v>1</v>
      </c>
      <c r="F157" s="25">
        <v>8000</v>
      </c>
      <c r="G157" s="25">
        <f t="shared" si="63"/>
        <v>8000</v>
      </c>
      <c r="H157" s="268">
        <f t="shared" si="64"/>
        <v>13.56300013563</v>
      </c>
      <c r="I157" s="642">
        <f t="shared" si="65"/>
        <v>240</v>
      </c>
      <c r="J157" s="642">
        <f t="shared" si="67"/>
        <v>350</v>
      </c>
      <c r="K157" s="642">
        <f t="shared" si="66"/>
        <v>8000</v>
      </c>
    </row>
    <row r="158" spans="1:11" x14ac:dyDescent="0.25">
      <c r="A158" s="22">
        <v>7</v>
      </c>
      <c r="B158" s="26" t="s">
        <v>509</v>
      </c>
      <c r="C158" s="23" t="s">
        <v>28</v>
      </c>
      <c r="D158" s="24">
        <v>1</v>
      </c>
      <c r="E158" s="23">
        <v>1</v>
      </c>
      <c r="F158" s="25">
        <v>8000</v>
      </c>
      <c r="G158" s="25">
        <f t="shared" si="63"/>
        <v>8000</v>
      </c>
      <c r="H158" s="268">
        <f t="shared" si="64"/>
        <v>13.56300013563</v>
      </c>
      <c r="I158" s="642">
        <f t="shared" si="65"/>
        <v>240</v>
      </c>
      <c r="J158" s="642">
        <f t="shared" si="67"/>
        <v>350</v>
      </c>
      <c r="K158" s="642">
        <f t="shared" si="66"/>
        <v>8000</v>
      </c>
    </row>
    <row r="159" spans="1:11" x14ac:dyDescent="0.25">
      <c r="A159" s="22">
        <v>8</v>
      </c>
      <c r="B159" s="26" t="s">
        <v>510</v>
      </c>
      <c r="C159" s="23" t="s">
        <v>28</v>
      </c>
      <c r="D159" s="24">
        <v>1</v>
      </c>
      <c r="E159" s="23">
        <v>1</v>
      </c>
      <c r="F159" s="25">
        <v>8000</v>
      </c>
      <c r="G159" s="25">
        <f t="shared" si="63"/>
        <v>8000</v>
      </c>
      <c r="H159" s="268">
        <f t="shared" si="64"/>
        <v>13.56300013563</v>
      </c>
      <c r="I159" s="642">
        <f t="shared" si="65"/>
        <v>240</v>
      </c>
      <c r="J159" s="642">
        <f t="shared" si="67"/>
        <v>350</v>
      </c>
      <c r="K159" s="642">
        <f t="shared" si="66"/>
        <v>8000</v>
      </c>
    </row>
    <row r="160" spans="1:11" x14ac:dyDescent="0.25">
      <c r="A160" s="22">
        <v>9</v>
      </c>
      <c r="B160" s="26" t="s">
        <v>406</v>
      </c>
      <c r="C160" s="23" t="s">
        <v>28</v>
      </c>
      <c r="D160" s="24">
        <v>1</v>
      </c>
      <c r="E160" s="23">
        <v>1</v>
      </c>
      <c r="F160" s="25">
        <v>5000</v>
      </c>
      <c r="G160" s="25">
        <f t="shared" si="63"/>
        <v>5000</v>
      </c>
      <c r="H160" s="268">
        <f t="shared" si="64"/>
        <v>8.47687508476875</v>
      </c>
      <c r="I160" s="642">
        <f t="shared" si="65"/>
        <v>150</v>
      </c>
      <c r="J160" s="642">
        <f t="shared" ref="J160:J162" si="68">250*D160</f>
        <v>250</v>
      </c>
      <c r="K160" s="642">
        <f t="shared" si="66"/>
        <v>5000</v>
      </c>
    </row>
    <row r="161" spans="1:11" x14ac:dyDescent="0.25">
      <c r="A161" s="22">
        <v>10</v>
      </c>
      <c r="B161" s="26" t="s">
        <v>407</v>
      </c>
      <c r="C161" s="23" t="s">
        <v>28</v>
      </c>
      <c r="D161" s="24">
        <v>2</v>
      </c>
      <c r="E161" s="23">
        <v>1</v>
      </c>
      <c r="F161" s="25">
        <v>5000</v>
      </c>
      <c r="G161" s="25">
        <f t="shared" si="63"/>
        <v>10000</v>
      </c>
      <c r="H161" s="268">
        <f t="shared" si="64"/>
        <v>16.9537501695375</v>
      </c>
      <c r="I161" s="642">
        <f t="shared" si="65"/>
        <v>300</v>
      </c>
      <c r="J161" s="642">
        <f t="shared" si="68"/>
        <v>500</v>
      </c>
      <c r="K161" s="642">
        <f t="shared" si="66"/>
        <v>5000</v>
      </c>
    </row>
    <row r="162" spans="1:11" x14ac:dyDescent="0.25">
      <c r="A162" s="22">
        <v>11</v>
      </c>
      <c r="B162" s="26" t="s">
        <v>408</v>
      </c>
      <c r="C162" s="23" t="s">
        <v>28</v>
      </c>
      <c r="D162" s="24">
        <v>8</v>
      </c>
      <c r="E162" s="23">
        <v>1</v>
      </c>
      <c r="F162" s="25">
        <v>5000</v>
      </c>
      <c r="G162" s="25">
        <f t="shared" si="63"/>
        <v>40000</v>
      </c>
      <c r="H162" s="268">
        <f t="shared" si="64"/>
        <v>67.81500067815</v>
      </c>
      <c r="I162" s="642">
        <f t="shared" si="65"/>
        <v>1200</v>
      </c>
      <c r="J162" s="642">
        <f t="shared" si="68"/>
        <v>2000</v>
      </c>
      <c r="K162" s="642">
        <f t="shared" si="66"/>
        <v>5000</v>
      </c>
    </row>
    <row r="163" spans="1:11" x14ac:dyDescent="0.25">
      <c r="A163" s="22">
        <v>12</v>
      </c>
      <c r="B163" s="26" t="s">
        <v>425</v>
      </c>
      <c r="C163" s="23" t="s">
        <v>28</v>
      </c>
      <c r="D163" s="24">
        <v>2</v>
      </c>
      <c r="E163" s="23">
        <v>1</v>
      </c>
      <c r="F163" s="25">
        <v>0</v>
      </c>
      <c r="G163" s="25">
        <f t="shared" si="63"/>
        <v>0</v>
      </c>
      <c r="H163" s="268">
        <f t="shared" si="64"/>
        <v>0</v>
      </c>
      <c r="I163" s="642">
        <f t="shared" si="65"/>
        <v>0</v>
      </c>
      <c r="J163" s="642">
        <f t="shared" si="65"/>
        <v>0</v>
      </c>
      <c r="K163" s="642">
        <f t="shared" si="66"/>
        <v>0</v>
      </c>
    </row>
    <row r="164" spans="1:11" x14ac:dyDescent="0.25">
      <c r="A164" s="22">
        <v>13</v>
      </c>
      <c r="B164" s="26" t="s">
        <v>423</v>
      </c>
      <c r="C164" s="23" t="s">
        <v>28</v>
      </c>
      <c r="D164" s="24">
        <v>1</v>
      </c>
      <c r="E164" s="23">
        <v>1</v>
      </c>
      <c r="F164" s="25">
        <v>5000</v>
      </c>
      <c r="G164" s="25">
        <f t="shared" si="63"/>
        <v>5000</v>
      </c>
      <c r="H164" s="268">
        <f t="shared" si="64"/>
        <v>8.47687508476875</v>
      </c>
      <c r="I164" s="642">
        <f t="shared" si="65"/>
        <v>150</v>
      </c>
      <c r="J164" s="642">
        <f t="shared" ref="J164:J168" si="69">250*D164</f>
        <v>250</v>
      </c>
      <c r="K164" s="642">
        <f t="shared" si="66"/>
        <v>5000</v>
      </c>
    </row>
    <row r="165" spans="1:11" x14ac:dyDescent="0.25">
      <c r="A165" s="22">
        <v>14</v>
      </c>
      <c r="B165" s="26" t="s">
        <v>424</v>
      </c>
      <c r="C165" s="23" t="s">
        <v>28</v>
      </c>
      <c r="D165" s="24">
        <v>1</v>
      </c>
      <c r="E165" s="23">
        <v>1</v>
      </c>
      <c r="F165" s="25">
        <v>5000</v>
      </c>
      <c r="G165" s="25">
        <f t="shared" si="63"/>
        <v>5000</v>
      </c>
      <c r="H165" s="268">
        <f t="shared" si="64"/>
        <v>8.47687508476875</v>
      </c>
      <c r="I165" s="642">
        <f t="shared" si="65"/>
        <v>150</v>
      </c>
      <c r="J165" s="642">
        <f t="shared" si="69"/>
        <v>250</v>
      </c>
      <c r="K165" s="642">
        <f t="shared" si="66"/>
        <v>5000</v>
      </c>
    </row>
    <row r="166" spans="1:11" x14ac:dyDescent="0.25">
      <c r="A166" s="22">
        <v>15</v>
      </c>
      <c r="B166" s="26" t="s">
        <v>409</v>
      </c>
      <c r="C166" s="23" t="s">
        <v>28</v>
      </c>
      <c r="D166" s="24">
        <v>1</v>
      </c>
      <c r="E166" s="23">
        <v>1</v>
      </c>
      <c r="F166" s="25">
        <v>3000</v>
      </c>
      <c r="G166" s="25">
        <f t="shared" si="63"/>
        <v>3000</v>
      </c>
      <c r="H166" s="268">
        <f t="shared" si="64"/>
        <v>5.0861250508612503</v>
      </c>
      <c r="I166" s="642">
        <f t="shared" si="65"/>
        <v>90</v>
      </c>
      <c r="J166" s="642">
        <f t="shared" si="69"/>
        <v>250</v>
      </c>
      <c r="K166" s="642">
        <f t="shared" si="66"/>
        <v>3000</v>
      </c>
    </row>
    <row r="167" spans="1:11" x14ac:dyDescent="0.25">
      <c r="A167" s="22">
        <v>16</v>
      </c>
      <c r="B167" s="26" t="s">
        <v>426</v>
      </c>
      <c r="C167" s="23" t="s">
        <v>28</v>
      </c>
      <c r="D167" s="24">
        <f>SUM(D152:D166)</f>
        <v>24</v>
      </c>
      <c r="E167" s="23">
        <v>1</v>
      </c>
      <c r="F167" s="25">
        <v>5000</v>
      </c>
      <c r="G167" s="25">
        <f t="shared" si="63"/>
        <v>120000</v>
      </c>
      <c r="H167" s="268">
        <f t="shared" si="64"/>
        <v>203.44500203445</v>
      </c>
      <c r="I167" s="642">
        <f t="shared" si="65"/>
        <v>3600</v>
      </c>
      <c r="J167" s="642">
        <f t="shared" si="69"/>
        <v>6000</v>
      </c>
      <c r="K167" s="642">
        <f t="shared" si="66"/>
        <v>5000</v>
      </c>
    </row>
    <row r="168" spans="1:11" x14ac:dyDescent="0.25">
      <c r="A168" s="22">
        <v>17</v>
      </c>
      <c r="B168" s="26" t="s">
        <v>410</v>
      </c>
      <c r="C168" s="23" t="s">
        <v>28</v>
      </c>
      <c r="D168" s="24">
        <v>7</v>
      </c>
      <c r="E168" s="23">
        <v>2</v>
      </c>
      <c r="F168" s="25">
        <v>1500</v>
      </c>
      <c r="G168" s="25">
        <f t="shared" si="63"/>
        <v>21000</v>
      </c>
      <c r="H168" s="268">
        <f t="shared" si="64"/>
        <v>35.602875356028754</v>
      </c>
      <c r="I168" s="642">
        <f t="shared" si="65"/>
        <v>630</v>
      </c>
      <c r="J168" s="642">
        <f t="shared" si="69"/>
        <v>1750</v>
      </c>
      <c r="K168" s="642">
        <f t="shared" si="66"/>
        <v>3000</v>
      </c>
    </row>
    <row r="169" spans="1:11" ht="16.5" thickBot="1" x14ac:dyDescent="0.3">
      <c r="A169" s="22">
        <v>18</v>
      </c>
      <c r="B169" s="26" t="s">
        <v>1362</v>
      </c>
      <c r="C169" s="39" t="s">
        <v>29</v>
      </c>
      <c r="D169" s="24">
        <v>50</v>
      </c>
      <c r="E169" s="23">
        <v>1</v>
      </c>
      <c r="F169" s="25">
        <v>800</v>
      </c>
      <c r="G169" s="25">
        <f t="shared" si="63"/>
        <v>40000</v>
      </c>
      <c r="H169" s="268">
        <f t="shared" si="64"/>
        <v>67.81500067815</v>
      </c>
      <c r="I169" s="642">
        <v>0</v>
      </c>
      <c r="J169" s="642">
        <v>0</v>
      </c>
      <c r="K169" s="642">
        <v>0</v>
      </c>
    </row>
    <row r="170" spans="1:11" ht="18.75" thickBot="1" x14ac:dyDescent="0.3">
      <c r="A170" s="780" t="s">
        <v>527</v>
      </c>
      <c r="B170" s="781"/>
      <c r="C170" s="781"/>
      <c r="D170" s="781"/>
      <c r="E170" s="783"/>
      <c r="F170" s="348"/>
      <c r="G170" s="349">
        <f>SUM(G152:G169)</f>
        <v>310000</v>
      </c>
      <c r="H170" s="350">
        <f>SUM(H152:H169)</f>
        <v>525.56625525566255</v>
      </c>
      <c r="I170" s="263">
        <f>SUM(I152:I169)</f>
        <v>8100</v>
      </c>
      <c r="J170" s="263">
        <f>SUM(J152:J169)</f>
        <v>13950</v>
      </c>
      <c r="K170" s="12"/>
    </row>
    <row r="171" spans="1:11" ht="18" x14ac:dyDescent="0.25">
      <c r="A171" s="29"/>
      <c r="B171" s="205" t="s">
        <v>427</v>
      </c>
      <c r="C171" s="29"/>
      <c r="D171" s="29"/>
      <c r="E171" s="29"/>
      <c r="F171" s="29"/>
      <c r="G171" s="29"/>
      <c r="H171" s="268"/>
      <c r="I171" s="12"/>
      <c r="J171" s="12"/>
      <c r="K171" s="12"/>
    </row>
    <row r="172" spans="1:11" ht="18" x14ac:dyDescent="0.25">
      <c r="A172" s="29"/>
      <c r="B172" s="205" t="s">
        <v>433</v>
      </c>
      <c r="C172" s="29"/>
      <c r="D172" s="29"/>
      <c r="E172" s="29"/>
      <c r="F172" s="29"/>
      <c r="G172" s="29"/>
      <c r="H172" s="268"/>
      <c r="I172" s="12"/>
      <c r="J172" s="12"/>
      <c r="K172" s="12"/>
    </row>
    <row r="173" spans="1:11" x14ac:dyDescent="0.25">
      <c r="A173" s="22">
        <v>1</v>
      </c>
      <c r="B173" s="26" t="s">
        <v>511</v>
      </c>
      <c r="C173" s="23" t="s">
        <v>28</v>
      </c>
      <c r="D173" s="23">
        <v>37</v>
      </c>
      <c r="E173" s="23">
        <v>1</v>
      </c>
      <c r="F173" s="25">
        <f>7500-5000</f>
        <v>2500</v>
      </c>
      <c r="G173" s="25">
        <f t="shared" ref="G173:G184" si="70">D173*E173*F173</f>
        <v>92500</v>
      </c>
      <c r="H173" s="268">
        <f t="shared" ref="H173:H184" si="71">G173/589.84</f>
        <v>156.82218906822189</v>
      </c>
      <c r="I173" s="642">
        <f t="shared" ref="I173:I181" si="72">G173*0.03</f>
        <v>2775</v>
      </c>
      <c r="J173" s="642">
        <f>125*D173</f>
        <v>4625</v>
      </c>
      <c r="K173" s="642">
        <f t="shared" ref="K173:K181" si="73">G173/D173</f>
        <v>2500</v>
      </c>
    </row>
    <row r="174" spans="1:11" x14ac:dyDescent="0.25">
      <c r="A174" s="22">
        <v>2</v>
      </c>
      <c r="B174" s="26" t="s">
        <v>513</v>
      </c>
      <c r="C174" s="23" t="s">
        <v>28</v>
      </c>
      <c r="D174" s="23">
        <v>26</v>
      </c>
      <c r="E174" s="23">
        <v>1</v>
      </c>
      <c r="F174" s="25">
        <f t="shared" ref="F174:F180" si="74">7500-5000</f>
        <v>2500</v>
      </c>
      <c r="G174" s="25">
        <f t="shared" si="70"/>
        <v>65000</v>
      </c>
      <c r="H174" s="268">
        <f t="shared" si="71"/>
        <v>110.19937610199375</v>
      </c>
      <c r="I174" s="642">
        <f t="shared" si="72"/>
        <v>1950</v>
      </c>
      <c r="J174" s="642">
        <f t="shared" ref="J174:J180" si="75">125*D174</f>
        <v>3250</v>
      </c>
      <c r="K174" s="642">
        <f t="shared" si="73"/>
        <v>2500</v>
      </c>
    </row>
    <row r="175" spans="1:11" x14ac:dyDescent="0.25">
      <c r="A175" s="22">
        <v>3</v>
      </c>
      <c r="B175" s="26" t="s">
        <v>512</v>
      </c>
      <c r="C175" s="23" t="s">
        <v>28</v>
      </c>
      <c r="D175" s="23">
        <v>31</v>
      </c>
      <c r="E175" s="23">
        <v>1</v>
      </c>
      <c r="F175" s="25">
        <f t="shared" si="74"/>
        <v>2500</v>
      </c>
      <c r="G175" s="25">
        <f t="shared" si="70"/>
        <v>77500</v>
      </c>
      <c r="H175" s="268">
        <f t="shared" si="71"/>
        <v>131.39156381391564</v>
      </c>
      <c r="I175" s="642">
        <f t="shared" si="72"/>
        <v>2325</v>
      </c>
      <c r="J175" s="642">
        <f t="shared" si="75"/>
        <v>3875</v>
      </c>
      <c r="K175" s="642">
        <f t="shared" si="73"/>
        <v>2500</v>
      </c>
    </row>
    <row r="176" spans="1:11" x14ac:dyDescent="0.25">
      <c r="A176" s="22">
        <v>4</v>
      </c>
      <c r="B176" s="26" t="s">
        <v>514</v>
      </c>
      <c r="C176" s="23" t="s">
        <v>28</v>
      </c>
      <c r="D176" s="23">
        <v>28</v>
      </c>
      <c r="E176" s="23">
        <v>1</v>
      </c>
      <c r="F176" s="25">
        <f t="shared" si="74"/>
        <v>2500</v>
      </c>
      <c r="G176" s="25">
        <f t="shared" si="70"/>
        <v>70000</v>
      </c>
      <c r="H176" s="268">
        <f t="shared" si="71"/>
        <v>118.6762511867625</v>
      </c>
      <c r="I176" s="642">
        <f t="shared" si="72"/>
        <v>2100</v>
      </c>
      <c r="J176" s="642">
        <f t="shared" si="75"/>
        <v>3500</v>
      </c>
      <c r="K176" s="642">
        <f t="shared" si="73"/>
        <v>2500</v>
      </c>
    </row>
    <row r="177" spans="1:11" x14ac:dyDescent="0.25">
      <c r="A177" s="22">
        <v>5</v>
      </c>
      <c r="B177" s="26" t="s">
        <v>515</v>
      </c>
      <c r="C177" s="23" t="s">
        <v>28</v>
      </c>
      <c r="D177" s="23">
        <v>25</v>
      </c>
      <c r="E177" s="23">
        <v>1</v>
      </c>
      <c r="F177" s="25">
        <f t="shared" si="74"/>
        <v>2500</v>
      </c>
      <c r="G177" s="25">
        <f t="shared" si="70"/>
        <v>62500</v>
      </c>
      <c r="H177" s="268">
        <f t="shared" si="71"/>
        <v>105.96093855960937</v>
      </c>
      <c r="I177" s="642">
        <f t="shared" si="72"/>
        <v>1875</v>
      </c>
      <c r="J177" s="642">
        <f t="shared" si="75"/>
        <v>3125</v>
      </c>
      <c r="K177" s="642">
        <f t="shared" si="73"/>
        <v>2500</v>
      </c>
    </row>
    <row r="178" spans="1:11" x14ac:dyDescent="0.25">
      <c r="A178" s="22">
        <v>6</v>
      </c>
      <c r="B178" s="26" t="s">
        <v>516</v>
      </c>
      <c r="C178" s="23" t="s">
        <v>28</v>
      </c>
      <c r="D178" s="23">
        <v>27</v>
      </c>
      <c r="E178" s="23">
        <v>1</v>
      </c>
      <c r="F178" s="25">
        <f t="shared" si="74"/>
        <v>2500</v>
      </c>
      <c r="G178" s="25">
        <f t="shared" si="70"/>
        <v>67500</v>
      </c>
      <c r="H178" s="268">
        <f t="shared" si="71"/>
        <v>114.43781364437812</v>
      </c>
      <c r="I178" s="642">
        <f t="shared" si="72"/>
        <v>2025</v>
      </c>
      <c r="J178" s="642">
        <f t="shared" si="75"/>
        <v>3375</v>
      </c>
      <c r="K178" s="642">
        <f t="shared" si="73"/>
        <v>2500</v>
      </c>
    </row>
    <row r="179" spans="1:11" x14ac:dyDescent="0.25">
      <c r="A179" s="22">
        <v>7</v>
      </c>
      <c r="B179" s="26" t="s">
        <v>517</v>
      </c>
      <c r="C179" s="23" t="s">
        <v>28</v>
      </c>
      <c r="D179" s="23">
        <v>16</v>
      </c>
      <c r="E179" s="23">
        <v>1</v>
      </c>
      <c r="F179" s="25">
        <f t="shared" si="74"/>
        <v>2500</v>
      </c>
      <c r="G179" s="25">
        <f t="shared" si="70"/>
        <v>40000</v>
      </c>
      <c r="H179" s="268">
        <f t="shared" si="71"/>
        <v>67.81500067815</v>
      </c>
      <c r="I179" s="642">
        <f t="shared" si="72"/>
        <v>1200</v>
      </c>
      <c r="J179" s="642">
        <f t="shared" si="75"/>
        <v>2000</v>
      </c>
      <c r="K179" s="642">
        <f t="shared" si="73"/>
        <v>2500</v>
      </c>
    </row>
    <row r="180" spans="1:11" x14ac:dyDescent="0.25">
      <c r="A180" s="22">
        <v>8</v>
      </c>
      <c r="B180" s="26" t="s">
        <v>518</v>
      </c>
      <c r="C180" s="23" t="s">
        <v>28</v>
      </c>
      <c r="D180" s="23">
        <v>33</v>
      </c>
      <c r="E180" s="23">
        <v>1</v>
      </c>
      <c r="F180" s="25">
        <f t="shared" si="74"/>
        <v>2500</v>
      </c>
      <c r="G180" s="25">
        <f t="shared" si="70"/>
        <v>82500</v>
      </c>
      <c r="H180" s="268">
        <f t="shared" si="71"/>
        <v>139.86843889868439</v>
      </c>
      <c r="I180" s="642">
        <f t="shared" si="72"/>
        <v>2475</v>
      </c>
      <c r="J180" s="642">
        <f t="shared" si="75"/>
        <v>4125</v>
      </c>
      <c r="K180" s="642">
        <f t="shared" si="73"/>
        <v>2500</v>
      </c>
    </row>
    <row r="181" spans="1:11" x14ac:dyDescent="0.25">
      <c r="A181" s="22">
        <v>9</v>
      </c>
      <c r="B181" s="26" t="s">
        <v>429</v>
      </c>
      <c r="C181" s="23" t="s">
        <v>28</v>
      </c>
      <c r="D181" s="23">
        <v>8</v>
      </c>
      <c r="E181" s="23">
        <v>1</v>
      </c>
      <c r="F181" s="25">
        <v>3000</v>
      </c>
      <c r="G181" s="25">
        <f t="shared" si="70"/>
        <v>24000</v>
      </c>
      <c r="H181" s="268">
        <f t="shared" si="71"/>
        <v>40.689000406890003</v>
      </c>
      <c r="I181" s="642">
        <f t="shared" si="72"/>
        <v>720</v>
      </c>
      <c r="J181" s="642">
        <f>250*D181</f>
        <v>2000</v>
      </c>
      <c r="K181" s="642">
        <f t="shared" si="73"/>
        <v>3000</v>
      </c>
    </row>
    <row r="182" spans="1:11" x14ac:dyDescent="0.25">
      <c r="A182" s="22">
        <v>10</v>
      </c>
      <c r="B182" s="26" t="s">
        <v>430</v>
      </c>
      <c r="C182" s="23" t="s">
        <v>28</v>
      </c>
      <c r="D182" s="23">
        <v>0</v>
      </c>
      <c r="E182" s="23">
        <v>2</v>
      </c>
      <c r="F182" s="25">
        <v>25000</v>
      </c>
      <c r="G182" s="25">
        <f t="shared" si="70"/>
        <v>0</v>
      </c>
      <c r="H182" s="268">
        <f t="shared" si="71"/>
        <v>0</v>
      </c>
      <c r="I182" s="642">
        <v>0</v>
      </c>
      <c r="J182" s="642">
        <v>0</v>
      </c>
      <c r="K182" s="642">
        <v>0</v>
      </c>
    </row>
    <row r="183" spans="1:11" x14ac:dyDescent="0.25">
      <c r="A183" s="22">
        <v>11</v>
      </c>
      <c r="B183" s="26" t="s">
        <v>431</v>
      </c>
      <c r="C183" s="23" t="s">
        <v>30</v>
      </c>
      <c r="D183" s="23">
        <v>0</v>
      </c>
      <c r="E183" s="23">
        <v>1</v>
      </c>
      <c r="F183" s="25">
        <v>850</v>
      </c>
      <c r="G183" s="25">
        <f t="shared" si="70"/>
        <v>0</v>
      </c>
      <c r="H183" s="268">
        <f t="shared" si="71"/>
        <v>0</v>
      </c>
      <c r="I183" s="642">
        <v>0</v>
      </c>
      <c r="J183" s="642">
        <v>0</v>
      </c>
      <c r="K183" s="642">
        <v>0</v>
      </c>
    </row>
    <row r="184" spans="1:11" ht="16.5" thickBot="1" x14ac:dyDescent="0.3">
      <c r="A184" s="22">
        <v>12</v>
      </c>
      <c r="B184" s="26" t="s">
        <v>432</v>
      </c>
      <c r="C184" s="23" t="s">
        <v>17</v>
      </c>
      <c r="D184" s="23">
        <v>0</v>
      </c>
      <c r="E184" s="23">
        <v>1</v>
      </c>
      <c r="F184" s="25">
        <v>800</v>
      </c>
      <c r="G184" s="25">
        <f t="shared" si="70"/>
        <v>0</v>
      </c>
      <c r="H184" s="268">
        <f t="shared" si="71"/>
        <v>0</v>
      </c>
      <c r="I184" s="642">
        <v>0</v>
      </c>
      <c r="J184" s="642">
        <v>0</v>
      </c>
      <c r="K184" s="642">
        <v>0</v>
      </c>
    </row>
    <row r="185" spans="1:11" ht="18.75" thickBot="1" x14ac:dyDescent="0.3">
      <c r="A185" s="341"/>
      <c r="B185" s="342" t="s">
        <v>1399</v>
      </c>
      <c r="C185" s="343"/>
      <c r="D185" s="343"/>
      <c r="E185" s="343"/>
      <c r="F185" s="344"/>
      <c r="G185" s="344">
        <f>SUM(G173:G184)</f>
        <v>581500</v>
      </c>
      <c r="H185" s="345">
        <f>SUM(H173:H184)</f>
        <v>985.86057235860574</v>
      </c>
      <c r="I185" s="263">
        <f>SUM(I173:I184)</f>
        <v>17445</v>
      </c>
      <c r="J185" s="263">
        <f>SUM(J173:J184)</f>
        <v>29875</v>
      </c>
      <c r="K185" s="12"/>
    </row>
    <row r="186" spans="1:11" s="48" customFormat="1" ht="18" x14ac:dyDescent="0.25">
      <c r="A186" s="18"/>
      <c r="B186" s="18" t="s">
        <v>1389</v>
      </c>
      <c r="C186" s="18"/>
      <c r="D186" s="18"/>
      <c r="E186" s="18"/>
      <c r="F186" s="18"/>
      <c r="G186" s="18"/>
      <c r="H186" s="416"/>
      <c r="I186" s="522"/>
      <c r="J186" s="522"/>
      <c r="K186" s="522"/>
    </row>
    <row r="187" spans="1:11" s="48" customFormat="1" x14ac:dyDescent="0.25">
      <c r="A187" s="411">
        <v>1</v>
      </c>
      <c r="B187" s="413" t="s">
        <v>1388</v>
      </c>
      <c r="C187" s="404" t="s">
        <v>28</v>
      </c>
      <c r="D187" s="403">
        <v>15</v>
      </c>
      <c r="E187" s="404">
        <v>1</v>
      </c>
      <c r="F187" s="405">
        <v>5000</v>
      </c>
      <c r="G187" s="405">
        <f>D187*E187*F187</f>
        <v>75000</v>
      </c>
      <c r="H187" s="440">
        <f t="shared" ref="H187:H188" si="76">G187/589.84</f>
        <v>127.15312627153125</v>
      </c>
      <c r="I187" s="642">
        <f>G187*0.03</f>
        <v>2250</v>
      </c>
      <c r="J187" s="642">
        <f>350*D187</f>
        <v>5250</v>
      </c>
      <c r="K187" s="642">
        <f>G187/D187</f>
        <v>5000</v>
      </c>
    </row>
    <row r="188" spans="1:11" s="48" customFormat="1" ht="30.75" thickBot="1" x14ac:dyDescent="0.3">
      <c r="A188" s="188">
        <v>2</v>
      </c>
      <c r="B188" s="413" t="s">
        <v>1474</v>
      </c>
      <c r="C188" s="404" t="s">
        <v>1475</v>
      </c>
      <c r="D188" s="403">
        <v>2</v>
      </c>
      <c r="E188" s="404">
        <v>1</v>
      </c>
      <c r="F188" s="405">
        <v>50000</v>
      </c>
      <c r="G188" s="677">
        <f>D188*E188*F188</f>
        <v>100000</v>
      </c>
      <c r="H188" s="450">
        <f t="shared" si="76"/>
        <v>169.537501695375</v>
      </c>
      <c r="I188" s="642">
        <f>G188*0.03</f>
        <v>3000</v>
      </c>
      <c r="J188" s="642">
        <f>1050*D188</f>
        <v>2100</v>
      </c>
      <c r="K188" s="642">
        <f>G188/D188</f>
        <v>50000</v>
      </c>
    </row>
    <row r="189" spans="1:11" ht="18.75" thickBot="1" x14ac:dyDescent="0.3">
      <c r="A189" s="341"/>
      <c r="B189" s="342" t="s">
        <v>1422</v>
      </c>
      <c r="C189" s="343"/>
      <c r="D189" s="343"/>
      <c r="E189" s="343"/>
      <c r="F189" s="344"/>
      <c r="G189" s="344">
        <f>SUM(G187:G188)</f>
        <v>175000</v>
      </c>
      <c r="H189" s="428">
        <f>SUM(H187:H188)</f>
        <v>296.69062796690628</v>
      </c>
      <c r="I189" s="263">
        <f>SUM(I187:I188)</f>
        <v>5250</v>
      </c>
      <c r="J189" s="263">
        <f>SUM(J187:J188)</f>
        <v>7350</v>
      </c>
      <c r="K189" s="12"/>
    </row>
    <row r="190" spans="1:11" x14ac:dyDescent="0.25">
      <c r="A190" s="22"/>
      <c r="B190" s="422" t="s">
        <v>434</v>
      </c>
      <c r="C190" s="23"/>
      <c r="D190" s="24">
        <v>1</v>
      </c>
      <c r="E190" s="23">
        <v>1</v>
      </c>
      <c r="F190" s="25">
        <v>100000</v>
      </c>
      <c r="G190" s="25">
        <f>D190*E190*F190</f>
        <v>100000</v>
      </c>
      <c r="H190" s="268">
        <f t="shared" ref="H190" si="77">G190/589.84</f>
        <v>169.537501695375</v>
      </c>
      <c r="I190" s="642">
        <f>G190*0.03</f>
        <v>3000</v>
      </c>
      <c r="J190" s="642">
        <f>1600*D190</f>
        <v>1600</v>
      </c>
      <c r="K190" s="642">
        <f>G190/D190</f>
        <v>100000</v>
      </c>
    </row>
    <row r="191" spans="1:11" s="48" customFormat="1" ht="18" x14ac:dyDescent="0.25">
      <c r="A191" s="679"/>
      <c r="B191" s="18" t="s">
        <v>1390</v>
      </c>
      <c r="C191" s="436"/>
      <c r="D191" s="436"/>
      <c r="E191" s="436"/>
      <c r="F191" s="436"/>
      <c r="G191" s="436"/>
      <c r="H191" s="423"/>
      <c r="I191" s="529"/>
      <c r="J191" s="529"/>
      <c r="K191" s="529"/>
    </row>
    <row r="192" spans="1:11" s="48" customFormat="1" ht="18" x14ac:dyDescent="0.25">
      <c r="A192" s="676">
        <v>1</v>
      </c>
      <c r="B192" s="434" t="s">
        <v>1391</v>
      </c>
      <c r="C192" s="434" t="s">
        <v>17</v>
      </c>
      <c r="D192" s="447">
        <v>200</v>
      </c>
      <c r="E192" s="447">
        <v>1</v>
      </c>
      <c r="F192" s="25">
        <v>800</v>
      </c>
      <c r="G192" s="25">
        <f>+D192*E192*F192</f>
        <v>160000</v>
      </c>
      <c r="H192" s="435">
        <f>+G192/589.84</f>
        <v>271.2600027126</v>
      </c>
      <c r="I192" s="501"/>
      <c r="J192" s="501"/>
      <c r="K192" s="501"/>
    </row>
    <row r="193" spans="1:11" s="48" customFormat="1" ht="18" x14ac:dyDescent="0.25">
      <c r="A193" s="676">
        <v>2</v>
      </c>
      <c r="B193" s="434" t="s">
        <v>1339</v>
      </c>
      <c r="C193" s="434" t="s">
        <v>28</v>
      </c>
      <c r="D193" s="447">
        <v>1</v>
      </c>
      <c r="E193" s="447">
        <v>1</v>
      </c>
      <c r="F193" s="25">
        <v>8000</v>
      </c>
      <c r="G193" s="25">
        <f>+D193*E193*F193</f>
        <v>8000</v>
      </c>
      <c r="H193" s="435">
        <f t="shared" ref="H193:H194" si="78">+G193/589.84</f>
        <v>13.56300013563</v>
      </c>
      <c r="I193" s="642">
        <f t="shared" ref="I193:I194" si="79">G193*0.03</f>
        <v>240</v>
      </c>
      <c r="J193" s="642">
        <f>350*D193</f>
        <v>350</v>
      </c>
      <c r="K193" s="642">
        <f t="shared" ref="K193:K194" si="80">G193/D193</f>
        <v>8000</v>
      </c>
    </row>
    <row r="194" spans="1:11" s="48" customFormat="1" ht="18" x14ac:dyDescent="0.25">
      <c r="A194" s="676">
        <v>3</v>
      </c>
      <c r="B194" s="434" t="s">
        <v>1394</v>
      </c>
      <c r="C194" s="434" t="s">
        <v>28</v>
      </c>
      <c r="D194" s="447">
        <v>1</v>
      </c>
      <c r="E194" s="447">
        <v>1</v>
      </c>
      <c r="F194" s="25">
        <v>8000</v>
      </c>
      <c r="G194" s="25">
        <f>+D194*E194*F194</f>
        <v>8000</v>
      </c>
      <c r="H194" s="435">
        <f t="shared" si="78"/>
        <v>13.56300013563</v>
      </c>
      <c r="I194" s="642">
        <f t="shared" si="79"/>
        <v>240</v>
      </c>
      <c r="J194" s="642">
        <f>350*D194</f>
        <v>350</v>
      </c>
      <c r="K194" s="642">
        <f t="shared" si="80"/>
        <v>8000</v>
      </c>
    </row>
    <row r="195" spans="1:11" ht="18.75" thickBot="1" x14ac:dyDescent="0.3">
      <c r="A195" s="680"/>
      <c r="B195" s="681" t="s">
        <v>1399</v>
      </c>
      <c r="C195" s="426"/>
      <c r="D195" s="426"/>
      <c r="E195" s="426"/>
      <c r="F195" s="427"/>
      <c r="G195" s="427">
        <f>SUM(G192:G194)</f>
        <v>176000</v>
      </c>
      <c r="H195" s="428">
        <f>SUM(H192:H194)</f>
        <v>298.38600298385995</v>
      </c>
      <c r="I195" s="263">
        <f>SUM(I193:I194)</f>
        <v>480</v>
      </c>
      <c r="J195" s="263">
        <f>SUM(J193:J194)</f>
        <v>700</v>
      </c>
      <c r="K195" s="429"/>
    </row>
    <row r="196" spans="1:11" ht="26.25" thickBot="1" x14ac:dyDescent="0.4">
      <c r="A196" s="790" t="s">
        <v>91</v>
      </c>
      <c r="B196" s="778"/>
      <c r="C196" s="791"/>
      <c r="D196" s="791"/>
      <c r="E196" s="792"/>
      <c r="F196" s="532"/>
      <c r="G196" s="533">
        <f>SUM(G195+G190+G189+G185+G170+G149+G137+G124+G99+G77+G66+G59+G52+G45+G38+G31+G24+G17)</f>
        <v>29035500</v>
      </c>
      <c r="H196" s="559">
        <f>SUM(H195+H190+H189+H185+H170+H149+H137+H124+H99+H77+H66+H59+H52+H45+H38+H31+H24+H17)</f>
        <v>49226.061304760602</v>
      </c>
      <c r="I196" s="682">
        <f>I17+I24+I31+I38+I45+I52+I59+I66+I77+I124+I137+I149+I170+I185+I189+I190+I195</f>
        <v>558315</v>
      </c>
      <c r="J196" s="682">
        <f>J17+J24+J31+J38+J45+J52+J59+J66+J77+J124+J137+J149+J170+J185+J189+J190+J195</f>
        <v>501650</v>
      </c>
      <c r="K196" s="500"/>
    </row>
    <row r="197" spans="1:11" ht="17.25" customHeight="1" x14ac:dyDescent="0.35">
      <c r="A197" s="82"/>
      <c r="B197" s="82"/>
      <c r="C197" s="557"/>
      <c r="D197" s="82"/>
      <c r="E197" s="82"/>
      <c r="F197" s="558"/>
      <c r="G197" s="82"/>
      <c r="H197" s="82"/>
      <c r="I197" s="531"/>
      <c r="J197" s="531"/>
      <c r="K197" s="531"/>
    </row>
    <row r="198" spans="1:11" x14ac:dyDescent="0.25">
      <c r="A198" s="117" t="s">
        <v>1535</v>
      </c>
      <c r="B198" s="118"/>
      <c r="C198" s="82"/>
      <c r="D198" s="82"/>
      <c r="E198" s="82"/>
      <c r="F198" s="82"/>
      <c r="G198" s="82"/>
      <c r="H198" s="82"/>
      <c r="I198" s="531"/>
      <c r="J198" s="531"/>
      <c r="K198" s="531"/>
    </row>
    <row r="199" spans="1:11" x14ac:dyDescent="0.25">
      <c r="A199" s="238" t="s">
        <v>1538</v>
      </c>
      <c r="B199" s="119"/>
      <c r="C199" s="82"/>
      <c r="D199" s="82"/>
      <c r="E199" s="82"/>
      <c r="F199" s="82"/>
      <c r="G199" s="82"/>
      <c r="H199" s="82"/>
      <c r="I199" s="531"/>
      <c r="J199" s="531"/>
      <c r="K199" s="531"/>
    </row>
    <row r="200" spans="1:11" x14ac:dyDescent="0.25">
      <c r="A200" s="238"/>
      <c r="B200" s="119"/>
      <c r="C200" s="82"/>
      <c r="D200" s="82"/>
      <c r="E200" s="82"/>
      <c r="F200" s="82"/>
      <c r="G200" s="82"/>
      <c r="H200" s="82"/>
      <c r="I200" s="531"/>
      <c r="J200" s="531"/>
      <c r="K200" s="531"/>
    </row>
    <row r="201" spans="1:11" x14ac:dyDescent="0.25">
      <c r="A201" s="238" t="s">
        <v>1331</v>
      </c>
      <c r="B201" s="119"/>
      <c r="C201" s="82"/>
      <c r="D201" s="82"/>
      <c r="E201" s="82"/>
      <c r="F201" s="82"/>
      <c r="G201" s="82"/>
      <c r="H201" s="82"/>
      <c r="I201" s="531"/>
      <c r="J201" s="531" t="s">
        <v>1530</v>
      </c>
      <c r="K201" s="531"/>
    </row>
    <row r="202" spans="1:11" x14ac:dyDescent="0.25">
      <c r="A202" s="238"/>
      <c r="B202" s="119"/>
      <c r="C202" s="82"/>
      <c r="D202" s="82"/>
      <c r="E202" s="82"/>
      <c r="F202" s="82"/>
      <c r="G202" s="82"/>
      <c r="H202" s="82"/>
      <c r="I202" s="531"/>
      <c r="J202" s="531"/>
      <c r="K202" s="531"/>
    </row>
    <row r="203" spans="1:11" x14ac:dyDescent="0.25">
      <c r="A203" s="119" t="s">
        <v>1561</v>
      </c>
      <c r="B203" s="119"/>
      <c r="C203" s="82"/>
      <c r="D203" s="82"/>
      <c r="E203" s="82"/>
      <c r="F203" s="82"/>
      <c r="G203" s="82"/>
      <c r="H203" s="82"/>
      <c r="I203" s="531"/>
      <c r="J203" s="531"/>
      <c r="K203" s="531"/>
    </row>
    <row r="204" spans="1:11" x14ac:dyDescent="0.25">
      <c r="A204" s="119"/>
      <c r="B204" s="119"/>
      <c r="C204" s="82"/>
      <c r="D204" s="82"/>
      <c r="E204" s="82"/>
      <c r="F204" s="82"/>
      <c r="G204" s="82"/>
    </row>
    <row r="205" spans="1:11" x14ac:dyDescent="0.25">
      <c r="A205" s="82"/>
      <c r="B205" s="82"/>
      <c r="C205" s="82"/>
      <c r="D205" s="82"/>
      <c r="E205" s="82"/>
      <c r="F205" s="82"/>
      <c r="G205" s="82"/>
    </row>
    <row r="206" spans="1:11" x14ac:dyDescent="0.25">
      <c r="B206" s="121"/>
    </row>
    <row r="207" spans="1:11" x14ac:dyDescent="0.25">
      <c r="B207" s="121"/>
    </row>
    <row r="208" spans="1:11" x14ac:dyDescent="0.25">
      <c r="B208" s="121"/>
    </row>
    <row r="209" spans="2:2" x14ac:dyDescent="0.25">
      <c r="B209" s="121"/>
    </row>
    <row r="210" spans="2:2" x14ac:dyDescent="0.25">
      <c r="B210" s="82"/>
    </row>
    <row r="211" spans="2:2" x14ac:dyDescent="0.25">
      <c r="B211" s="121"/>
    </row>
    <row r="212" spans="2:2" x14ac:dyDescent="0.25">
      <c r="B212" s="121"/>
    </row>
    <row r="213" spans="2:2" x14ac:dyDescent="0.25">
      <c r="B213" s="121"/>
    </row>
    <row r="214" spans="2:2" x14ac:dyDescent="0.25">
      <c r="B214" s="121"/>
    </row>
    <row r="215" spans="2:2" x14ac:dyDescent="0.25">
      <c r="B215" s="121"/>
    </row>
    <row r="216" spans="2:2" x14ac:dyDescent="0.25">
      <c r="B216" s="121"/>
    </row>
    <row r="217" spans="2:2" x14ac:dyDescent="0.25">
      <c r="B217" s="121"/>
    </row>
    <row r="218" spans="2:2" x14ac:dyDescent="0.25">
      <c r="B218" s="121"/>
    </row>
    <row r="219" spans="2:2" x14ac:dyDescent="0.25">
      <c r="B219" s="121"/>
    </row>
    <row r="220" spans="2:2" x14ac:dyDescent="0.25">
      <c r="B220" s="121"/>
    </row>
    <row r="221" spans="2:2" x14ac:dyDescent="0.25">
      <c r="B221" s="121"/>
    </row>
    <row r="222" spans="2:2" x14ac:dyDescent="0.25">
      <c r="B222" s="121"/>
    </row>
    <row r="223" spans="2:2" x14ac:dyDescent="0.25">
      <c r="B223" s="121"/>
    </row>
    <row r="224" spans="2:2" x14ac:dyDescent="0.25">
      <c r="B224" s="121"/>
    </row>
    <row r="225" spans="2:2" x14ac:dyDescent="0.25">
      <c r="B225" s="121"/>
    </row>
    <row r="226" spans="2:2" x14ac:dyDescent="0.25">
      <c r="B226" s="121"/>
    </row>
    <row r="227" spans="2:2" x14ac:dyDescent="0.25">
      <c r="B227" s="121"/>
    </row>
  </sheetData>
  <mergeCells count="6">
    <mergeCell ref="A196:E196"/>
    <mergeCell ref="A78:E78"/>
    <mergeCell ref="A7:H7"/>
    <mergeCell ref="A99:E99"/>
    <mergeCell ref="A170:E170"/>
    <mergeCell ref="A150:E15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2AF22A"/>
  </sheetPr>
  <dimension ref="A1:O207"/>
  <sheetViews>
    <sheetView topLeftCell="B7" zoomScale="140" zoomScaleNormal="140" workbookViewId="0">
      <pane xSplit="1" ySplit="2" topLeftCell="C62" activePane="bottomRight" state="frozen"/>
      <selection activeCell="B7" sqref="B7"/>
      <selection pane="topRight" activeCell="C7" sqref="C7"/>
      <selection pane="bottomLeft" activeCell="B9" sqref="B9"/>
      <selection pane="bottomRight" activeCell="D66" sqref="D66"/>
    </sheetView>
  </sheetViews>
  <sheetFormatPr baseColWidth="10" defaultColWidth="10.625" defaultRowHeight="15.75" x14ac:dyDescent="0.25"/>
  <cols>
    <col min="1" max="1" width="18.5" style="48" customWidth="1"/>
    <col min="2" max="2" width="56" style="48" customWidth="1"/>
    <col min="3" max="3" width="14.375" style="48" customWidth="1"/>
    <col min="4" max="4" width="8.5" style="48" customWidth="1"/>
    <col min="5" max="5" width="11.375" style="48" customWidth="1"/>
    <col min="6" max="6" width="15.875" style="48" customWidth="1"/>
    <col min="7" max="7" width="28.375" style="48" bestFit="1" customWidth="1"/>
    <col min="8" max="8" width="23.625" style="48" customWidth="1"/>
    <col min="9" max="9" width="24.625" style="647" customWidth="1"/>
    <col min="10" max="10" width="24" style="657" customWidth="1"/>
    <col min="11" max="11" width="18.375" customWidth="1"/>
    <col min="12" max="13" width="8.875" customWidth="1"/>
    <col min="14" max="14" width="12.375" customWidth="1"/>
    <col min="15" max="15" width="13.125" style="520" customWidth="1"/>
    <col min="16" max="253" width="8.875" customWidth="1"/>
  </cols>
  <sheetData>
    <row r="1" spans="1:15" x14ac:dyDescent="0.25">
      <c r="A1" s="1" t="s">
        <v>1400</v>
      </c>
      <c r="B1" s="1"/>
      <c r="C1" s="1"/>
      <c r="D1" s="1"/>
      <c r="E1" s="1"/>
      <c r="F1" s="1"/>
      <c r="G1" s="1"/>
      <c r="H1" s="1"/>
      <c r="I1" s="638"/>
      <c r="J1" s="648"/>
      <c r="K1" s="2"/>
      <c r="L1" s="2"/>
      <c r="M1" s="2"/>
      <c r="N1" s="2"/>
      <c r="O1" s="2"/>
    </row>
    <row r="2" spans="1:15" x14ac:dyDescent="0.25">
      <c r="A2" s="1" t="s">
        <v>0</v>
      </c>
      <c r="B2" s="1"/>
      <c r="C2" s="1"/>
      <c r="D2" s="1"/>
      <c r="E2" s="1"/>
      <c r="F2" s="1"/>
      <c r="G2" s="1"/>
      <c r="H2" s="1"/>
      <c r="I2" s="638"/>
      <c r="J2" s="648"/>
      <c r="K2" s="2"/>
      <c r="L2" s="2"/>
      <c r="M2" s="2"/>
      <c r="N2" s="2"/>
      <c r="O2" s="2"/>
    </row>
    <row r="3" spans="1:15" x14ac:dyDescent="0.25">
      <c r="A3" s="1" t="s">
        <v>1520</v>
      </c>
      <c r="B3" s="1"/>
      <c r="C3" s="1"/>
      <c r="D3" s="1"/>
      <c r="E3" s="1"/>
      <c r="F3" s="1"/>
      <c r="G3" s="1"/>
      <c r="H3" s="1"/>
      <c r="I3" s="638"/>
      <c r="J3" s="648"/>
      <c r="K3" s="2"/>
      <c r="L3" s="2"/>
      <c r="M3" s="2"/>
      <c r="N3" s="2"/>
      <c r="O3" s="2"/>
    </row>
    <row r="4" spans="1:15" ht="16.5" thickBot="1" x14ac:dyDescent="0.3">
      <c r="A4" s="1" t="s">
        <v>1</v>
      </c>
      <c r="B4" s="1"/>
      <c r="C4" s="1"/>
      <c r="D4" s="1"/>
      <c r="E4" s="1"/>
      <c r="F4" s="1"/>
      <c r="G4" s="1"/>
      <c r="H4" s="1"/>
      <c r="I4" s="638"/>
      <c r="J4" s="648"/>
      <c r="K4" s="2"/>
      <c r="L4" s="2"/>
      <c r="M4" s="2"/>
      <c r="N4" s="2"/>
      <c r="O4" s="2"/>
    </row>
    <row r="5" spans="1:15" ht="24" thickBot="1" x14ac:dyDescent="0.3">
      <c r="A5" s="1" t="s">
        <v>2</v>
      </c>
      <c r="B5" s="1"/>
      <c r="C5" s="382">
        <f>G196</f>
        <v>243819350</v>
      </c>
      <c r="D5" s="353">
        <f>H196</f>
        <v>316194.81554319826</v>
      </c>
      <c r="E5" s="1"/>
      <c r="F5" s="353"/>
      <c r="G5" s="1"/>
      <c r="H5" s="1"/>
      <c r="I5" s="638"/>
      <c r="J5" s="648"/>
      <c r="K5" s="2"/>
      <c r="L5" s="2"/>
      <c r="M5" s="2"/>
      <c r="N5" s="2"/>
      <c r="O5" s="2"/>
    </row>
    <row r="6" spans="1:15" ht="16.5" thickBot="1" x14ac:dyDescent="0.3">
      <c r="A6" s="1" t="s">
        <v>1539</v>
      </c>
      <c r="B6" s="1"/>
      <c r="C6" s="1"/>
      <c r="D6" s="1"/>
      <c r="E6" s="1"/>
      <c r="F6" s="1"/>
      <c r="G6" s="1"/>
      <c r="H6" s="1"/>
      <c r="I6" s="638"/>
      <c r="J6" s="648"/>
      <c r="K6" s="2"/>
      <c r="L6" s="2"/>
      <c r="M6" s="2"/>
      <c r="N6" s="2"/>
      <c r="O6" s="2"/>
    </row>
    <row r="7" spans="1:15" ht="16.5" thickBot="1" x14ac:dyDescent="0.3">
      <c r="A7" s="809" t="s">
        <v>3</v>
      </c>
      <c r="B7" s="810"/>
      <c r="C7" s="810"/>
      <c r="D7" s="810"/>
      <c r="E7" s="810"/>
      <c r="F7" s="810"/>
      <c r="G7" s="810"/>
      <c r="H7" s="811"/>
      <c r="I7" s="639" t="s">
        <v>4</v>
      </c>
      <c r="J7" s="649"/>
      <c r="K7" s="497"/>
      <c r="L7" s="497"/>
      <c r="M7" s="498"/>
      <c r="N7" s="9"/>
      <c r="O7" s="812" t="s">
        <v>5</v>
      </c>
    </row>
    <row r="8" spans="1:15" ht="26.25" thickBot="1" x14ac:dyDescent="0.3">
      <c r="A8" s="6" t="s">
        <v>1534</v>
      </c>
      <c r="B8" s="4" t="s">
        <v>1533</v>
      </c>
      <c r="C8" s="4" t="s">
        <v>8</v>
      </c>
      <c r="D8" s="7" t="s">
        <v>9</v>
      </c>
      <c r="E8" s="4" t="s">
        <v>10</v>
      </c>
      <c r="F8" s="7" t="s">
        <v>11</v>
      </c>
      <c r="G8" s="8" t="s">
        <v>12</v>
      </c>
      <c r="H8" s="8" t="s">
        <v>1532</v>
      </c>
      <c r="I8" s="640" t="s">
        <v>6</v>
      </c>
      <c r="J8" s="650" t="s">
        <v>7</v>
      </c>
      <c r="K8" s="10" t="s">
        <v>13</v>
      </c>
      <c r="L8" s="10" t="s">
        <v>14</v>
      </c>
      <c r="M8" s="10" t="s">
        <v>15</v>
      </c>
      <c r="N8" s="5" t="s">
        <v>16</v>
      </c>
      <c r="O8" s="812"/>
    </row>
    <row r="9" spans="1:15" ht="18.75" x14ac:dyDescent="0.3">
      <c r="A9" s="245"/>
      <c r="B9" s="383" t="s">
        <v>1313</v>
      </c>
      <c r="C9" s="245"/>
      <c r="D9" s="245"/>
      <c r="E9" s="245"/>
      <c r="F9" s="29"/>
      <c r="G9" s="29"/>
      <c r="H9" s="505"/>
      <c r="I9" s="641" t="s">
        <v>1613</v>
      </c>
      <c r="J9" s="651" t="s">
        <v>1614</v>
      </c>
      <c r="K9" s="651" t="s">
        <v>1617</v>
      </c>
      <c r="L9" s="12"/>
      <c r="M9" s="12"/>
      <c r="N9" s="12"/>
      <c r="O9" s="525"/>
    </row>
    <row r="10" spans="1:15" x14ac:dyDescent="0.25">
      <c r="A10" s="22">
        <v>1</v>
      </c>
      <c r="B10" s="26" t="s">
        <v>1401</v>
      </c>
      <c r="C10" s="23" t="s">
        <v>28</v>
      </c>
      <c r="D10" s="23">
        <f>20</f>
        <v>20</v>
      </c>
      <c r="E10" s="23">
        <v>14</v>
      </c>
      <c r="F10" s="21">
        <v>25000</v>
      </c>
      <c r="G10" s="25">
        <f t="shared" ref="G10:G31" si="0">D10*E10*F10</f>
        <v>7000000</v>
      </c>
      <c r="H10" s="268">
        <f t="shared" ref="H10:H31" si="1">G10/589.84</f>
        <v>11867.625118676251</v>
      </c>
      <c r="I10" s="642">
        <f t="shared" ref="I10:I22" si="2">G10*0.03</f>
        <v>210000</v>
      </c>
      <c r="J10" s="642">
        <f>3200*D10</f>
        <v>64000</v>
      </c>
      <c r="K10" s="642">
        <f>G10/D10</f>
        <v>350000</v>
      </c>
      <c r="L10" s="12"/>
      <c r="M10" s="12"/>
      <c r="N10" s="12"/>
      <c r="O10" s="525"/>
    </row>
    <row r="11" spans="1:15" x14ac:dyDescent="0.25">
      <c r="A11" s="22">
        <v>2</v>
      </c>
      <c r="B11" s="26" t="s">
        <v>1402</v>
      </c>
      <c r="C11" s="23" t="s">
        <v>28</v>
      </c>
      <c r="D11" s="23">
        <v>5</v>
      </c>
      <c r="E11" s="23">
        <v>14</v>
      </c>
      <c r="F11" s="21">
        <v>25000</v>
      </c>
      <c r="G11" s="25">
        <f t="shared" si="0"/>
        <v>1750000</v>
      </c>
      <c r="H11" s="268">
        <f t="shared" si="1"/>
        <v>2966.9062796690628</v>
      </c>
      <c r="I11" s="642">
        <f t="shared" si="2"/>
        <v>52500</v>
      </c>
      <c r="J11" s="642">
        <f t="shared" ref="J11:J21" si="3">3200*D11</f>
        <v>16000</v>
      </c>
      <c r="K11" s="642">
        <f t="shared" ref="K11:K21" si="4">G11/D11</f>
        <v>350000</v>
      </c>
      <c r="L11" s="12"/>
      <c r="M11" s="12"/>
      <c r="N11" s="12"/>
      <c r="O11" s="10"/>
    </row>
    <row r="12" spans="1:15" x14ac:dyDescent="0.25">
      <c r="A12" s="22">
        <v>3</v>
      </c>
      <c r="B12" s="26" t="s">
        <v>1403</v>
      </c>
      <c r="C12" s="23" t="s">
        <v>28</v>
      </c>
      <c r="D12" s="23">
        <v>2</v>
      </c>
      <c r="E12" s="23">
        <v>14</v>
      </c>
      <c r="F12" s="21">
        <v>25000</v>
      </c>
      <c r="G12" s="25">
        <f t="shared" si="0"/>
        <v>700000</v>
      </c>
      <c r="H12" s="268">
        <f t="shared" si="1"/>
        <v>1186.7625118676251</v>
      </c>
      <c r="I12" s="642">
        <f t="shared" si="2"/>
        <v>21000</v>
      </c>
      <c r="J12" s="642">
        <f t="shared" si="3"/>
        <v>6400</v>
      </c>
      <c r="K12" s="642">
        <f t="shared" si="4"/>
        <v>350000</v>
      </c>
      <c r="L12" s="12"/>
      <c r="M12" s="12"/>
      <c r="N12" s="12"/>
      <c r="O12" s="10"/>
    </row>
    <row r="13" spans="1:15" x14ac:dyDescent="0.25">
      <c r="A13" s="22">
        <v>4</v>
      </c>
      <c r="B13" s="26" t="s">
        <v>1469</v>
      </c>
      <c r="C13" s="23" t="s">
        <v>28</v>
      </c>
      <c r="D13" s="23">
        <v>2</v>
      </c>
      <c r="E13" s="23">
        <v>14</v>
      </c>
      <c r="F13" s="21">
        <v>25000</v>
      </c>
      <c r="G13" s="25">
        <f t="shared" si="0"/>
        <v>700000</v>
      </c>
      <c r="H13" s="268">
        <f t="shared" si="1"/>
        <v>1186.7625118676251</v>
      </c>
      <c r="I13" s="642">
        <f t="shared" si="2"/>
        <v>21000</v>
      </c>
      <c r="J13" s="642">
        <f t="shared" si="3"/>
        <v>6400</v>
      </c>
      <c r="K13" s="642">
        <f t="shared" si="4"/>
        <v>350000</v>
      </c>
      <c r="L13" s="12"/>
      <c r="M13" s="12"/>
      <c r="N13" s="12"/>
      <c r="O13" s="10"/>
    </row>
    <row r="14" spans="1:15" x14ac:dyDescent="0.25">
      <c r="A14" s="22">
        <v>5</v>
      </c>
      <c r="B14" s="26" t="s">
        <v>1462</v>
      </c>
      <c r="C14" s="23" t="s">
        <v>28</v>
      </c>
      <c r="D14" s="23">
        <v>1</v>
      </c>
      <c r="E14" s="23">
        <v>14</v>
      </c>
      <c r="F14" s="21">
        <v>25000</v>
      </c>
      <c r="G14" s="25">
        <f t="shared" si="0"/>
        <v>350000</v>
      </c>
      <c r="H14" s="268">
        <f t="shared" si="1"/>
        <v>593.38125593381255</v>
      </c>
      <c r="I14" s="642">
        <f t="shared" si="2"/>
        <v>10500</v>
      </c>
      <c r="J14" s="642">
        <f t="shared" si="3"/>
        <v>3200</v>
      </c>
      <c r="K14" s="642">
        <f t="shared" si="4"/>
        <v>350000</v>
      </c>
      <c r="L14" s="12"/>
      <c r="M14" s="12"/>
      <c r="N14" s="12"/>
      <c r="O14" s="10"/>
    </row>
    <row r="15" spans="1:15" x14ac:dyDescent="0.25">
      <c r="A15" s="22">
        <v>6</v>
      </c>
      <c r="B15" s="26" t="s">
        <v>1463</v>
      </c>
      <c r="C15" s="23" t="s">
        <v>28</v>
      </c>
      <c r="D15" s="17">
        <v>3</v>
      </c>
      <c r="E15" s="23">
        <v>14</v>
      </c>
      <c r="F15" s="21">
        <v>25000</v>
      </c>
      <c r="G15" s="25">
        <f t="shared" ref="G15:G22" si="5">D15*E15*F15</f>
        <v>1050000</v>
      </c>
      <c r="H15" s="268">
        <f t="shared" ref="H15:H22" si="6">G15/589.84</f>
        <v>1780.1437678014377</v>
      </c>
      <c r="I15" s="642">
        <f t="shared" si="2"/>
        <v>31500</v>
      </c>
      <c r="J15" s="642">
        <f t="shared" si="3"/>
        <v>9600</v>
      </c>
      <c r="K15" s="642">
        <f t="shared" si="4"/>
        <v>350000</v>
      </c>
      <c r="L15" s="12"/>
      <c r="M15" s="12"/>
      <c r="N15" s="12"/>
      <c r="O15" s="10"/>
    </row>
    <row r="16" spans="1:15" x14ac:dyDescent="0.25">
      <c r="A16" s="22">
        <v>7</v>
      </c>
      <c r="B16" s="26" t="s">
        <v>1464</v>
      </c>
      <c r="C16" s="23" t="s">
        <v>28</v>
      </c>
      <c r="D16" s="17">
        <v>0</v>
      </c>
      <c r="E16" s="17">
        <v>14</v>
      </c>
      <c r="F16" s="734">
        <v>25000</v>
      </c>
      <c r="G16" s="25">
        <f t="shared" si="5"/>
        <v>0</v>
      </c>
      <c r="H16" s="268">
        <f t="shared" si="6"/>
        <v>0</v>
      </c>
      <c r="I16" s="642">
        <f t="shared" si="2"/>
        <v>0</v>
      </c>
      <c r="J16" s="642">
        <f t="shared" si="3"/>
        <v>0</v>
      </c>
      <c r="K16" s="642" t="e">
        <f t="shared" si="4"/>
        <v>#DIV/0!</v>
      </c>
      <c r="L16" s="12"/>
      <c r="M16" s="12"/>
      <c r="N16" s="12"/>
      <c r="O16" s="10"/>
    </row>
    <row r="17" spans="1:15" x14ac:dyDescent="0.25">
      <c r="A17" s="22">
        <v>8</v>
      </c>
      <c r="B17" s="26" t="s">
        <v>1465</v>
      </c>
      <c r="C17" s="23" t="s">
        <v>28</v>
      </c>
      <c r="D17" s="23">
        <v>2</v>
      </c>
      <c r="E17" s="23">
        <v>14</v>
      </c>
      <c r="F17" s="21">
        <v>25000</v>
      </c>
      <c r="G17" s="25">
        <f t="shared" si="5"/>
        <v>700000</v>
      </c>
      <c r="H17" s="268">
        <f t="shared" si="6"/>
        <v>1186.7625118676251</v>
      </c>
      <c r="I17" s="642">
        <f t="shared" si="2"/>
        <v>21000</v>
      </c>
      <c r="J17" s="642">
        <f t="shared" si="3"/>
        <v>6400</v>
      </c>
      <c r="K17" s="642">
        <f t="shared" si="4"/>
        <v>350000</v>
      </c>
      <c r="L17" s="12"/>
      <c r="M17" s="12"/>
      <c r="N17" s="12"/>
      <c r="O17" s="10"/>
    </row>
    <row r="18" spans="1:15" x14ac:dyDescent="0.25">
      <c r="A18" s="22">
        <v>9</v>
      </c>
      <c r="B18" s="26" t="s">
        <v>1470</v>
      </c>
      <c r="C18" s="23" t="s">
        <v>28</v>
      </c>
      <c r="D18" s="23">
        <v>3</v>
      </c>
      <c r="E18" s="23">
        <v>14</v>
      </c>
      <c r="F18" s="21">
        <v>25000</v>
      </c>
      <c r="G18" s="25">
        <f t="shared" ref="G18" si="7">D18*E18*F18</f>
        <v>1050000</v>
      </c>
      <c r="H18" s="268">
        <f t="shared" ref="H18" si="8">G18/589.84</f>
        <v>1780.1437678014377</v>
      </c>
      <c r="I18" s="642">
        <f t="shared" si="2"/>
        <v>31500</v>
      </c>
      <c r="J18" s="642">
        <f t="shared" si="3"/>
        <v>9600</v>
      </c>
      <c r="K18" s="642">
        <f t="shared" si="4"/>
        <v>350000</v>
      </c>
      <c r="L18" s="12"/>
      <c r="M18" s="12"/>
      <c r="N18" s="524"/>
      <c r="O18" s="10"/>
    </row>
    <row r="19" spans="1:15" x14ac:dyDescent="0.25">
      <c r="A19" s="22">
        <v>10</v>
      </c>
      <c r="B19" s="26" t="s">
        <v>1630</v>
      </c>
      <c r="C19" s="23" t="s">
        <v>28</v>
      </c>
      <c r="D19" s="23">
        <v>1</v>
      </c>
      <c r="E19" s="23">
        <v>14</v>
      </c>
      <c r="F19" s="21">
        <v>25000</v>
      </c>
      <c r="G19" s="25">
        <f t="shared" ref="G19:G20" si="9">D19*E19*F19</f>
        <v>350000</v>
      </c>
      <c r="H19" s="268">
        <f t="shared" ref="H19:H20" si="10">G19/589.84</f>
        <v>593.38125593381255</v>
      </c>
      <c r="I19" s="642">
        <f t="shared" si="2"/>
        <v>10500</v>
      </c>
      <c r="J19" s="642">
        <f t="shared" si="3"/>
        <v>3200</v>
      </c>
      <c r="K19" s="642">
        <f t="shared" si="4"/>
        <v>350000</v>
      </c>
      <c r="L19" s="12"/>
      <c r="M19" s="12"/>
      <c r="N19" s="524"/>
      <c r="O19" s="10"/>
    </row>
    <row r="20" spans="1:15" x14ac:dyDescent="0.25">
      <c r="A20" s="22">
        <v>11</v>
      </c>
      <c r="B20" s="26" t="s">
        <v>1467</v>
      </c>
      <c r="C20" s="23" t="s">
        <v>28</v>
      </c>
      <c r="D20" s="23">
        <v>1</v>
      </c>
      <c r="E20" s="23">
        <v>14</v>
      </c>
      <c r="F20" s="21">
        <v>25000</v>
      </c>
      <c r="G20" s="25">
        <f t="shared" si="9"/>
        <v>350000</v>
      </c>
      <c r="H20" s="268">
        <f t="shared" si="10"/>
        <v>593.38125593381255</v>
      </c>
      <c r="I20" s="642">
        <f t="shared" si="2"/>
        <v>10500</v>
      </c>
      <c r="J20" s="642">
        <f t="shared" si="3"/>
        <v>3200</v>
      </c>
      <c r="K20" s="642">
        <f t="shared" si="4"/>
        <v>350000</v>
      </c>
      <c r="L20" s="12"/>
      <c r="M20" s="12"/>
      <c r="N20" s="524"/>
      <c r="O20" s="10"/>
    </row>
    <row r="21" spans="1:15" x14ac:dyDescent="0.25">
      <c r="A21" s="22">
        <v>12</v>
      </c>
      <c r="B21" s="26" t="s">
        <v>1466</v>
      </c>
      <c r="C21" s="23" t="s">
        <v>28</v>
      </c>
      <c r="D21" s="23">
        <v>2</v>
      </c>
      <c r="E21" s="23">
        <v>14</v>
      </c>
      <c r="F21" s="21">
        <v>25000</v>
      </c>
      <c r="G21" s="25">
        <f t="shared" si="5"/>
        <v>700000</v>
      </c>
      <c r="H21" s="268">
        <f t="shared" si="6"/>
        <v>1186.7625118676251</v>
      </c>
      <c r="I21" s="642">
        <f t="shared" si="2"/>
        <v>21000</v>
      </c>
      <c r="J21" s="642">
        <f t="shared" si="3"/>
        <v>6400</v>
      </c>
      <c r="K21" s="642">
        <f t="shared" si="4"/>
        <v>350000</v>
      </c>
      <c r="L21" s="12"/>
      <c r="M21" s="12"/>
      <c r="N21" s="524"/>
      <c r="O21" s="10"/>
    </row>
    <row r="22" spans="1:15" x14ac:dyDescent="0.25">
      <c r="A22" s="22">
        <v>13</v>
      </c>
      <c r="B22" s="26" t="s">
        <v>1468</v>
      </c>
      <c r="C22" s="23" t="s">
        <v>28</v>
      </c>
      <c r="D22" s="23">
        <v>2</v>
      </c>
      <c r="E22" s="23">
        <v>14</v>
      </c>
      <c r="F22" s="21">
        <v>10000</v>
      </c>
      <c r="G22" s="25">
        <f t="shared" si="5"/>
        <v>280000</v>
      </c>
      <c r="H22" s="268">
        <f t="shared" si="6"/>
        <v>474.70500474705</v>
      </c>
      <c r="I22" s="642">
        <f t="shared" si="2"/>
        <v>8400</v>
      </c>
      <c r="J22" s="642">
        <f>1900*D22</f>
        <v>3800</v>
      </c>
      <c r="K22" s="642">
        <f>G22/D22</f>
        <v>140000</v>
      </c>
      <c r="L22" s="12"/>
      <c r="M22" s="12"/>
      <c r="N22" s="524"/>
      <c r="O22" s="10"/>
    </row>
    <row r="23" spans="1:15" x14ac:dyDescent="0.25">
      <c r="A23" s="22">
        <v>14</v>
      </c>
      <c r="B23" s="26" t="s">
        <v>1454</v>
      </c>
      <c r="C23" s="23" t="s">
        <v>90</v>
      </c>
      <c r="D23" s="17">
        <f>35*14</f>
        <v>490</v>
      </c>
      <c r="E23" s="17">
        <v>1</v>
      </c>
      <c r="F23" s="734">
        <v>800</v>
      </c>
      <c r="G23" s="25">
        <f t="shared" si="0"/>
        <v>392000</v>
      </c>
      <c r="H23" s="268">
        <f t="shared" si="1"/>
        <v>664.58700664587002</v>
      </c>
      <c r="I23" s="636">
        <v>0</v>
      </c>
      <c r="J23" s="636">
        <v>0</v>
      </c>
      <c r="K23" s="12"/>
      <c r="L23" s="12"/>
      <c r="M23" s="12"/>
      <c r="N23" s="524"/>
      <c r="O23" s="12"/>
    </row>
    <row r="24" spans="1:15" x14ac:dyDescent="0.25">
      <c r="A24" s="22">
        <v>15</v>
      </c>
      <c r="B24" s="26" t="s">
        <v>1455</v>
      </c>
      <c r="C24" s="23" t="s">
        <v>90</v>
      </c>
      <c r="D24" s="17">
        <f>10*14</f>
        <v>140</v>
      </c>
      <c r="E24" s="17">
        <v>1</v>
      </c>
      <c r="F24" s="734">
        <v>800</v>
      </c>
      <c r="G24" s="25">
        <f t="shared" si="0"/>
        <v>112000</v>
      </c>
      <c r="H24" s="268">
        <f t="shared" si="1"/>
        <v>189.88200189882002</v>
      </c>
      <c r="I24" s="636">
        <v>0</v>
      </c>
      <c r="J24" s="636">
        <v>0</v>
      </c>
      <c r="K24" s="12"/>
      <c r="L24" s="12"/>
      <c r="M24" s="12"/>
      <c r="N24" s="524"/>
      <c r="O24" s="12"/>
    </row>
    <row r="25" spans="1:15" x14ac:dyDescent="0.25">
      <c r="A25" s="22">
        <v>16</v>
      </c>
      <c r="B25" s="26" t="s">
        <v>1456</v>
      </c>
      <c r="C25" s="23" t="s">
        <v>90</v>
      </c>
      <c r="D25" s="17">
        <f t="shared" ref="D25:D27" si="11">10*14</f>
        <v>140</v>
      </c>
      <c r="E25" s="17">
        <v>1</v>
      </c>
      <c r="F25" s="734">
        <v>800</v>
      </c>
      <c r="G25" s="25">
        <f t="shared" si="0"/>
        <v>112000</v>
      </c>
      <c r="H25" s="268">
        <f>G25/589.84</f>
        <v>189.88200189882002</v>
      </c>
      <c r="I25" s="636">
        <v>0</v>
      </c>
      <c r="J25" s="636">
        <v>0</v>
      </c>
      <c r="K25" s="12"/>
      <c r="L25" s="12"/>
      <c r="M25" s="12"/>
      <c r="N25" s="524"/>
      <c r="O25" s="12"/>
    </row>
    <row r="26" spans="1:15" x14ac:dyDescent="0.25">
      <c r="A26" s="22">
        <v>17</v>
      </c>
      <c r="B26" s="26" t="s">
        <v>1457</v>
      </c>
      <c r="C26" s="23" t="s">
        <v>90</v>
      </c>
      <c r="D26" s="17">
        <f t="shared" si="11"/>
        <v>140</v>
      </c>
      <c r="E26" s="17">
        <v>1</v>
      </c>
      <c r="F26" s="734">
        <v>800</v>
      </c>
      <c r="G26" s="25">
        <f t="shared" si="0"/>
        <v>112000</v>
      </c>
      <c r="H26" s="268">
        <f t="shared" ref="H26:H27" si="12">G26/589.84</f>
        <v>189.88200189882002</v>
      </c>
      <c r="I26" s="636">
        <v>0</v>
      </c>
      <c r="J26" s="636">
        <v>0</v>
      </c>
      <c r="K26" s="12"/>
      <c r="L26" s="12"/>
      <c r="M26" s="12"/>
      <c r="N26" s="524"/>
      <c r="O26" s="12"/>
    </row>
    <row r="27" spans="1:15" x14ac:dyDescent="0.25">
      <c r="A27" s="22">
        <v>18</v>
      </c>
      <c r="B27" s="26" t="s">
        <v>1458</v>
      </c>
      <c r="C27" s="23" t="s">
        <v>90</v>
      </c>
      <c r="D27" s="17">
        <f t="shared" si="11"/>
        <v>140</v>
      </c>
      <c r="E27" s="17">
        <v>1</v>
      </c>
      <c r="F27" s="734">
        <v>800</v>
      </c>
      <c r="G27" s="25">
        <f t="shared" si="0"/>
        <v>112000</v>
      </c>
      <c r="H27" s="268">
        <f t="shared" si="12"/>
        <v>189.88200189882002</v>
      </c>
      <c r="I27" s="636">
        <v>0</v>
      </c>
      <c r="J27" s="636">
        <v>0</v>
      </c>
      <c r="K27" s="12"/>
      <c r="L27" s="12"/>
      <c r="M27" s="12"/>
      <c r="N27" s="524"/>
      <c r="O27" s="12"/>
    </row>
    <row r="28" spans="1:15" s="48" customFormat="1" x14ac:dyDescent="0.25">
      <c r="A28" s="17">
        <v>19</v>
      </c>
      <c r="B28" s="26" t="s">
        <v>1404</v>
      </c>
      <c r="C28" s="19" t="s">
        <v>1286</v>
      </c>
      <c r="D28" s="19">
        <v>2</v>
      </c>
      <c r="E28" s="19">
        <v>2</v>
      </c>
      <c r="F28" s="21">
        <f>11000+1000</f>
        <v>12000</v>
      </c>
      <c r="G28" s="28">
        <f t="shared" si="0"/>
        <v>48000</v>
      </c>
      <c r="H28" s="415">
        <f t="shared" si="1"/>
        <v>81.378000813780005</v>
      </c>
      <c r="I28" s="636">
        <v>0</v>
      </c>
      <c r="J28" s="636">
        <v>0</v>
      </c>
      <c r="K28" s="12"/>
      <c r="L28" s="12"/>
      <c r="M28" s="12"/>
      <c r="N28" s="524"/>
      <c r="O28" s="12"/>
    </row>
    <row r="29" spans="1:15" ht="28.5" x14ac:dyDescent="0.25">
      <c r="A29" s="22">
        <v>20</v>
      </c>
      <c r="B29" s="26" t="s">
        <v>1405</v>
      </c>
      <c r="C29" s="23" t="s">
        <v>90</v>
      </c>
      <c r="D29" s="17">
        <f>120*10</f>
        <v>1200</v>
      </c>
      <c r="E29" s="17">
        <v>1</v>
      </c>
      <c r="F29" s="734">
        <v>1000</v>
      </c>
      <c r="G29" s="25">
        <f t="shared" si="0"/>
        <v>1200000</v>
      </c>
      <c r="H29" s="268">
        <f t="shared" si="1"/>
        <v>2034.4500203445</v>
      </c>
      <c r="I29" s="636">
        <v>0</v>
      </c>
      <c r="J29" s="636">
        <v>0</v>
      </c>
      <c r="K29" s="12"/>
      <c r="L29" s="12"/>
      <c r="M29" s="12"/>
      <c r="N29" s="524"/>
      <c r="O29" s="12"/>
    </row>
    <row r="30" spans="1:15" x14ac:dyDescent="0.25">
      <c r="A30" s="22">
        <v>21</v>
      </c>
      <c r="B30" s="26" t="s">
        <v>1300</v>
      </c>
      <c r="C30" s="23" t="s">
        <v>90</v>
      </c>
      <c r="D30" s="23">
        <f>+D29/25</f>
        <v>48</v>
      </c>
      <c r="E30" s="23">
        <v>1</v>
      </c>
      <c r="F30" s="21">
        <v>6000</v>
      </c>
      <c r="G30" s="25">
        <f t="shared" si="0"/>
        <v>288000</v>
      </c>
      <c r="H30" s="268">
        <f t="shared" si="1"/>
        <v>488.26800488268003</v>
      </c>
      <c r="I30" s="636">
        <v>0</v>
      </c>
      <c r="J30" s="636">
        <v>0</v>
      </c>
      <c r="K30" s="12"/>
      <c r="L30" s="12"/>
      <c r="M30" s="12"/>
      <c r="N30" s="524"/>
      <c r="O30" s="12"/>
    </row>
    <row r="31" spans="1:15" ht="25.15" customHeight="1" thickBot="1" x14ac:dyDescent="0.3">
      <c r="A31" s="22">
        <v>22</v>
      </c>
      <c r="B31" s="26" t="s">
        <v>275</v>
      </c>
      <c r="C31" s="23" t="s">
        <v>90</v>
      </c>
      <c r="D31" s="23">
        <v>0</v>
      </c>
      <c r="E31" s="23">
        <v>10</v>
      </c>
      <c r="F31" s="21">
        <v>800</v>
      </c>
      <c r="G31" s="25">
        <f t="shared" si="0"/>
        <v>0</v>
      </c>
      <c r="H31" s="268">
        <f t="shared" si="1"/>
        <v>0</v>
      </c>
      <c r="I31" s="636">
        <v>0</v>
      </c>
      <c r="J31" s="636">
        <v>0</v>
      </c>
      <c r="K31" s="12"/>
      <c r="L31" s="12"/>
      <c r="M31" s="12"/>
      <c r="N31" s="524"/>
      <c r="O31" s="12"/>
    </row>
    <row r="32" spans="1:15" ht="18.75" thickBot="1" x14ac:dyDescent="0.3">
      <c r="A32" s="261" t="s">
        <v>1314</v>
      </c>
      <c r="B32" s="262"/>
      <c r="C32" s="261"/>
      <c r="D32" s="261"/>
      <c r="E32" s="261"/>
      <c r="F32" s="263"/>
      <c r="G32" s="263">
        <f>SUM(G10:G31)</f>
        <v>17356000</v>
      </c>
      <c r="H32" s="506">
        <f>SUM(H10:H31)</f>
        <v>29424.928794249281</v>
      </c>
      <c r="I32" s="263">
        <f>SUM(I10:I31)</f>
        <v>449400</v>
      </c>
      <c r="J32" s="263">
        <f>SUM(J10:J31)</f>
        <v>138200</v>
      </c>
      <c r="K32" s="12"/>
      <c r="L32" s="12"/>
      <c r="M32" s="12"/>
      <c r="N32" s="524"/>
      <c r="O32" s="12"/>
    </row>
    <row r="33" spans="1:15" ht="35.25" customHeight="1" x14ac:dyDescent="0.25">
      <c r="A33" s="17"/>
      <c r="B33" s="206" t="s">
        <v>1287</v>
      </c>
      <c r="C33" s="19"/>
      <c r="D33" s="20"/>
      <c r="E33" s="19"/>
      <c r="F33" s="21"/>
      <c r="G33" s="21"/>
      <c r="H33" s="21"/>
      <c r="I33" s="643"/>
      <c r="J33" s="652"/>
      <c r="K33" s="12"/>
      <c r="L33" s="12"/>
      <c r="M33" s="12"/>
      <c r="N33" s="524"/>
      <c r="O33" s="12"/>
    </row>
    <row r="34" spans="1:15" x14ac:dyDescent="0.25">
      <c r="A34" s="22">
        <v>1</v>
      </c>
      <c r="B34" s="26" t="s">
        <v>1420</v>
      </c>
      <c r="C34" s="19" t="s">
        <v>28</v>
      </c>
      <c r="D34" s="23">
        <v>30</v>
      </c>
      <c r="E34" s="19">
        <v>5</v>
      </c>
      <c r="F34" s="28">
        <v>5000</v>
      </c>
      <c r="G34" s="28">
        <f>D34*E34*F34</f>
        <v>750000</v>
      </c>
      <c r="H34" s="268">
        <f>G34/589.84</f>
        <v>1271.5312627153126</v>
      </c>
      <c r="I34" s="642">
        <f>G34*0.03</f>
        <v>22500</v>
      </c>
      <c r="J34" s="642">
        <f>550*D34</f>
        <v>16500</v>
      </c>
      <c r="K34" s="642">
        <f>G34/D34</f>
        <v>25000</v>
      </c>
      <c r="L34" s="12"/>
      <c r="M34" s="12"/>
      <c r="N34" s="524"/>
      <c r="O34" s="12"/>
    </row>
    <row r="35" spans="1:15" ht="16.5" thickBot="1" x14ac:dyDescent="0.3">
      <c r="A35" s="22">
        <v>2</v>
      </c>
      <c r="B35" s="26" t="s">
        <v>86</v>
      </c>
      <c r="C35" s="19" t="s">
        <v>28</v>
      </c>
      <c r="D35" s="23">
        <v>30</v>
      </c>
      <c r="E35" s="19">
        <v>5</v>
      </c>
      <c r="F35" s="28">
        <v>5000</v>
      </c>
      <c r="G35" s="28">
        <f t="shared" ref="G35" si="13">D35*E35*F35</f>
        <v>750000</v>
      </c>
      <c r="H35" s="268">
        <f>G35/589.84</f>
        <v>1271.5312627153126</v>
      </c>
      <c r="I35" s="642">
        <v>0</v>
      </c>
      <c r="J35" s="642">
        <v>0</v>
      </c>
      <c r="K35" s="642">
        <v>0</v>
      </c>
      <c r="L35" s="12"/>
      <c r="M35" s="12"/>
      <c r="N35" s="524"/>
      <c r="O35" s="12"/>
    </row>
    <row r="36" spans="1:15" ht="18.75" thickBot="1" x14ac:dyDescent="0.3">
      <c r="A36" s="261" t="s">
        <v>1315</v>
      </c>
      <c r="B36" s="262"/>
      <c r="C36" s="261"/>
      <c r="D36" s="261"/>
      <c r="E36" s="261"/>
      <c r="F36" s="263"/>
      <c r="G36" s="263">
        <f>SUM(G34:G35)</f>
        <v>1500000</v>
      </c>
      <c r="H36" s="506">
        <f>SUM(H34:H35)</f>
        <v>2543.0625254306251</v>
      </c>
      <c r="I36" s="263">
        <f>SUM(I34:I35)</f>
        <v>22500</v>
      </c>
      <c r="J36" s="263">
        <f>SUM(J34:J35)</f>
        <v>16500</v>
      </c>
      <c r="K36" s="263">
        <f>SUM(K34:K35)</f>
        <v>25000</v>
      </c>
      <c r="L36" s="500"/>
      <c r="M36" s="500"/>
      <c r="N36" s="521"/>
      <c r="O36" s="12"/>
    </row>
    <row r="37" spans="1:15" ht="31.5" customHeight="1" x14ac:dyDescent="0.25">
      <c r="A37" s="17"/>
      <c r="B37" s="383" t="s">
        <v>1501</v>
      </c>
      <c r="C37" s="19"/>
      <c r="D37" s="20"/>
      <c r="E37" s="19"/>
      <c r="F37" s="21"/>
      <c r="G37" s="21"/>
      <c r="H37" s="507"/>
      <c r="I37" s="643"/>
      <c r="J37" s="652"/>
      <c r="K37" s="12"/>
      <c r="L37" s="12"/>
      <c r="M37" s="12"/>
      <c r="N37" s="524"/>
      <c r="O37" s="12"/>
    </row>
    <row r="38" spans="1:15" x14ac:dyDescent="0.25">
      <c r="A38" s="247">
        <v>1</v>
      </c>
      <c r="B38" s="26" t="s">
        <v>1502</v>
      </c>
      <c r="C38" s="19" t="s">
        <v>28</v>
      </c>
      <c r="D38" s="23">
        <v>9</v>
      </c>
      <c r="E38" s="19">
        <v>3</v>
      </c>
      <c r="F38" s="28">
        <v>3000</v>
      </c>
      <c r="G38" s="28">
        <f t="shared" ref="G38" si="14">D38*E38*F38</f>
        <v>81000</v>
      </c>
      <c r="H38" s="268">
        <f>G38/589.84</f>
        <v>137.32537637325376</v>
      </c>
      <c r="I38" s="644"/>
      <c r="J38" s="644"/>
      <c r="K38" s="500"/>
      <c r="L38" s="500"/>
      <c r="M38" s="500"/>
      <c r="N38" s="521"/>
      <c r="O38" s="12"/>
    </row>
    <row r="39" spans="1:15" ht="18" x14ac:dyDescent="0.25">
      <c r="A39" s="261"/>
      <c r="B39" s="476" t="s">
        <v>1399</v>
      </c>
      <c r="C39" s="23"/>
      <c r="D39" s="23"/>
      <c r="E39" s="23"/>
      <c r="F39" s="21"/>
      <c r="G39" s="263">
        <f>SUM(G38)</f>
        <v>81000</v>
      </c>
      <c r="H39" s="475">
        <f>SUM(H38)</f>
        <v>137.32537637325376</v>
      </c>
      <c r="I39" s="644"/>
      <c r="J39" s="644"/>
      <c r="K39" s="500"/>
      <c r="L39" s="500"/>
      <c r="M39" s="500"/>
      <c r="N39" s="521"/>
      <c r="O39" s="12"/>
    </row>
    <row r="40" spans="1:15" ht="36.75" thickBot="1" x14ac:dyDescent="0.3">
      <c r="A40" s="69"/>
      <c r="B40" s="383" t="s">
        <v>1316</v>
      </c>
      <c r="C40" s="19"/>
      <c r="D40" s="70"/>
      <c r="E40" s="70"/>
      <c r="F40" s="71"/>
      <c r="G40" s="78"/>
      <c r="H40"/>
      <c r="I40" s="644"/>
      <c r="J40" s="653"/>
      <c r="K40" s="500"/>
      <c r="L40" s="500"/>
      <c r="M40" s="500"/>
      <c r="N40" s="521"/>
      <c r="O40" s="12"/>
    </row>
    <row r="41" spans="1:15" x14ac:dyDescent="0.25">
      <c r="A41" s="22">
        <v>1</v>
      </c>
      <c r="B41" s="26" t="s">
        <v>276</v>
      </c>
      <c r="C41" s="19" t="s">
        <v>28</v>
      </c>
      <c r="D41" s="70">
        <v>0</v>
      </c>
      <c r="E41" s="70">
        <v>10</v>
      </c>
      <c r="F41" s="71">
        <v>25000</v>
      </c>
      <c r="G41" s="384">
        <f>D41*E41*F41</f>
        <v>0</v>
      </c>
      <c r="H41" s="508">
        <f>G41/589.84</f>
        <v>0</v>
      </c>
      <c r="I41" s="644"/>
      <c r="J41" s="653"/>
      <c r="K41" s="500"/>
      <c r="L41" s="500"/>
      <c r="M41" s="500"/>
      <c r="N41" s="521"/>
      <c r="O41" s="12"/>
    </row>
    <row r="42" spans="1:15" x14ac:dyDescent="0.25">
      <c r="A42" s="22">
        <v>2</v>
      </c>
      <c r="B42" s="26" t="s">
        <v>277</v>
      </c>
      <c r="C42" s="19" t="s">
        <v>56</v>
      </c>
      <c r="D42" s="24">
        <v>0</v>
      </c>
      <c r="E42" s="23">
        <v>10</v>
      </c>
      <c r="F42" s="25">
        <v>25000</v>
      </c>
      <c r="G42" s="346">
        <f>D42*E42*F42</f>
        <v>0</v>
      </c>
      <c r="H42" s="509">
        <f>G42/589.84</f>
        <v>0</v>
      </c>
      <c r="I42" s="644"/>
      <c r="J42" s="653"/>
      <c r="K42" s="500"/>
      <c r="L42" s="500"/>
      <c r="M42" s="500"/>
      <c r="N42" s="521"/>
      <c r="O42" s="12"/>
    </row>
    <row r="43" spans="1:15" x14ac:dyDescent="0.25">
      <c r="A43" s="22">
        <v>3</v>
      </c>
      <c r="B43" s="26" t="s">
        <v>278</v>
      </c>
      <c r="C43" s="19" t="s">
        <v>56</v>
      </c>
      <c r="D43" s="24">
        <v>0</v>
      </c>
      <c r="E43" s="23">
        <v>10</v>
      </c>
      <c r="F43" s="25">
        <v>25000</v>
      </c>
      <c r="G43" s="346">
        <f t="shared" ref="G43:G44" si="15">D43*E43*F43</f>
        <v>0</v>
      </c>
      <c r="H43" s="509">
        <f t="shared" ref="H43:H44" si="16">G43/589.84</f>
        <v>0</v>
      </c>
      <c r="I43" s="644"/>
      <c r="J43" s="653"/>
      <c r="K43" s="500"/>
      <c r="L43" s="500"/>
      <c r="M43" s="500"/>
      <c r="N43" s="521"/>
      <c r="O43" s="12"/>
    </row>
    <row r="44" spans="1:15" ht="16.5" thickBot="1" x14ac:dyDescent="0.3">
      <c r="A44" s="22">
        <v>4</v>
      </c>
      <c r="B44" s="26" t="s">
        <v>279</v>
      </c>
      <c r="C44" s="19" t="s">
        <v>90</v>
      </c>
      <c r="D44" s="24">
        <v>0</v>
      </c>
      <c r="E44" s="23">
        <v>1</v>
      </c>
      <c r="F44" s="25">
        <v>800</v>
      </c>
      <c r="G44" s="346">
        <f t="shared" si="15"/>
        <v>0</v>
      </c>
      <c r="H44" s="510">
        <f t="shared" si="16"/>
        <v>0</v>
      </c>
      <c r="I44" s="644"/>
      <c r="J44" s="653"/>
      <c r="K44" s="500"/>
      <c r="L44" s="500"/>
      <c r="M44" s="500"/>
      <c r="N44" s="521"/>
      <c r="O44" s="12"/>
    </row>
    <row r="45" spans="1:15" ht="18.75" thickBot="1" x14ac:dyDescent="0.3">
      <c r="A45" s="261" t="s">
        <v>1317</v>
      </c>
      <c r="B45" s="262"/>
      <c r="C45" s="261"/>
      <c r="D45" s="261"/>
      <c r="E45" s="261"/>
      <c r="F45" s="263"/>
      <c r="G45" s="263">
        <f>SUM(G42:G44)</f>
        <v>0</v>
      </c>
      <c r="H45" s="506">
        <f>SUM(H41:H44)</f>
        <v>0</v>
      </c>
      <c r="I45" s="644"/>
      <c r="J45" s="653"/>
      <c r="K45" s="500"/>
      <c r="L45" s="500"/>
      <c r="M45" s="500"/>
      <c r="N45" s="521"/>
      <c r="O45" s="12"/>
    </row>
    <row r="46" spans="1:15" ht="36.75" thickBot="1" x14ac:dyDescent="0.3">
      <c r="A46" s="69"/>
      <c r="B46" s="383" t="s">
        <v>1318</v>
      </c>
      <c r="C46" s="19"/>
      <c r="D46" s="70"/>
      <c r="E46" s="70"/>
      <c r="F46" s="71"/>
      <c r="G46" s="78"/>
      <c r="H46"/>
      <c r="I46" s="644"/>
      <c r="J46" s="653"/>
      <c r="K46" s="500"/>
      <c r="L46" s="500"/>
      <c r="M46" s="500"/>
      <c r="N46" s="521"/>
      <c r="O46" s="12"/>
    </row>
    <row r="47" spans="1:15" x14ac:dyDescent="0.25">
      <c r="A47" s="22">
        <v>1</v>
      </c>
      <c r="B47" s="26" t="s">
        <v>1409</v>
      </c>
      <c r="C47" s="19" t="s">
        <v>28</v>
      </c>
      <c r="D47" s="19">
        <v>2</v>
      </c>
      <c r="E47" s="19">
        <v>4</v>
      </c>
      <c r="F47" s="25">
        <v>25000</v>
      </c>
      <c r="G47" s="385">
        <f>D47*E47*F47</f>
        <v>200000</v>
      </c>
      <c r="H47" s="508">
        <f t="shared" ref="H47:H55" si="17">G47/589.84</f>
        <v>339.07500339075</v>
      </c>
      <c r="I47" s="642">
        <f>G47*0.03</f>
        <v>6000</v>
      </c>
      <c r="J47" s="642">
        <f>1600*D47</f>
        <v>3200</v>
      </c>
      <c r="K47" s="642">
        <f>G47/D47</f>
        <v>100000</v>
      </c>
      <c r="L47" s="500"/>
      <c r="M47" s="500"/>
      <c r="N47" s="521"/>
      <c r="O47" s="12"/>
    </row>
    <row r="48" spans="1:15" x14ac:dyDescent="0.25">
      <c r="A48" s="22">
        <v>2</v>
      </c>
      <c r="B48" s="26" t="s">
        <v>1410</v>
      </c>
      <c r="C48" s="23" t="s">
        <v>56</v>
      </c>
      <c r="D48" s="23">
        <v>2</v>
      </c>
      <c r="E48" s="23">
        <v>4</v>
      </c>
      <c r="F48" s="25">
        <v>25000</v>
      </c>
      <c r="G48" s="346">
        <f>D48*E48*F48</f>
        <v>200000</v>
      </c>
      <c r="H48" s="509">
        <f t="shared" si="17"/>
        <v>339.07500339075</v>
      </c>
      <c r="I48" s="642">
        <f>G48*0.03</f>
        <v>6000</v>
      </c>
      <c r="J48" s="642">
        <f>1600*D48</f>
        <v>3200</v>
      </c>
      <c r="K48" s="642">
        <f t="shared" ref="K48:K49" si="18">G48/D48</f>
        <v>100000</v>
      </c>
      <c r="L48" s="500"/>
      <c r="M48" s="500"/>
      <c r="N48" s="521"/>
      <c r="O48" s="12"/>
    </row>
    <row r="49" spans="1:15" x14ac:dyDescent="0.25">
      <c r="A49" s="22">
        <v>3</v>
      </c>
      <c r="B49" s="26" t="s">
        <v>1411</v>
      </c>
      <c r="C49" s="23" t="s">
        <v>56</v>
      </c>
      <c r="D49" s="23">
        <v>1</v>
      </c>
      <c r="E49" s="23">
        <v>4</v>
      </c>
      <c r="F49" s="25">
        <v>5000</v>
      </c>
      <c r="G49" s="346">
        <f t="shared" ref="G49:G55" si="19">D49*E49*F49</f>
        <v>20000</v>
      </c>
      <c r="H49" s="509">
        <f t="shared" si="17"/>
        <v>33.907500339075</v>
      </c>
      <c r="I49" s="642">
        <f>G49*0.03</f>
        <v>600</v>
      </c>
      <c r="J49" s="642">
        <f>550*D49</f>
        <v>550</v>
      </c>
      <c r="K49" s="642">
        <f t="shared" si="18"/>
        <v>20000</v>
      </c>
      <c r="L49" s="500"/>
      <c r="M49" s="500"/>
      <c r="N49" s="521"/>
      <c r="O49" s="12"/>
    </row>
    <row r="50" spans="1:15" x14ac:dyDescent="0.25">
      <c r="A50" s="22">
        <v>4</v>
      </c>
      <c r="B50" s="26" t="s">
        <v>1631</v>
      </c>
      <c r="C50" s="23" t="s">
        <v>90</v>
      </c>
      <c r="D50" s="17">
        <v>600</v>
      </c>
      <c r="E50" s="17">
        <v>1</v>
      </c>
      <c r="F50" s="730">
        <v>800</v>
      </c>
      <c r="G50" s="346">
        <f t="shared" si="19"/>
        <v>480000</v>
      </c>
      <c r="H50" s="509">
        <f t="shared" si="17"/>
        <v>813.7800081378</v>
      </c>
      <c r="I50" s="644">
        <v>0</v>
      </c>
      <c r="J50" s="644">
        <v>0</v>
      </c>
      <c r="K50" s="500"/>
      <c r="L50" s="500"/>
      <c r="M50" s="500"/>
      <c r="N50" s="521"/>
      <c r="O50" s="12"/>
    </row>
    <row r="51" spans="1:15" x14ac:dyDescent="0.25">
      <c r="A51" s="22">
        <v>5</v>
      </c>
      <c r="B51" s="26" t="s">
        <v>1632</v>
      </c>
      <c r="C51" s="23" t="s">
        <v>90</v>
      </c>
      <c r="D51" s="17">
        <v>650</v>
      </c>
      <c r="E51" s="17">
        <v>1</v>
      </c>
      <c r="F51" s="730">
        <v>800</v>
      </c>
      <c r="G51" s="346">
        <f t="shared" si="19"/>
        <v>520000</v>
      </c>
      <c r="H51" s="509">
        <f t="shared" si="17"/>
        <v>881.59500881595</v>
      </c>
      <c r="I51" s="644">
        <v>0</v>
      </c>
      <c r="J51" s="644">
        <v>0</v>
      </c>
      <c r="K51" s="500"/>
      <c r="L51" s="500"/>
      <c r="M51" s="500"/>
      <c r="N51" s="521"/>
      <c r="O51" s="12"/>
    </row>
    <row r="52" spans="1:15" x14ac:dyDescent="0.25">
      <c r="A52" s="22">
        <v>6</v>
      </c>
      <c r="B52" s="26" t="s">
        <v>1616</v>
      </c>
      <c r="C52" s="23" t="s">
        <v>56</v>
      </c>
      <c r="D52" s="23">
        <v>11</v>
      </c>
      <c r="E52" s="23">
        <v>2</v>
      </c>
      <c r="F52" s="25">
        <v>1000</v>
      </c>
      <c r="G52" s="346">
        <f t="shared" si="19"/>
        <v>22000</v>
      </c>
      <c r="H52" s="509">
        <f t="shared" si="17"/>
        <v>37.298250372982501</v>
      </c>
      <c r="I52" s="642">
        <f>G52*0.03</f>
        <v>660</v>
      </c>
      <c r="J52" s="642">
        <f>125*D52</f>
        <v>1375</v>
      </c>
      <c r="K52" s="642">
        <f t="shared" ref="K52" si="20">G52/D52</f>
        <v>2000</v>
      </c>
      <c r="L52" s="500"/>
      <c r="M52" s="500"/>
      <c r="N52" s="521"/>
      <c r="O52" s="12"/>
    </row>
    <row r="53" spans="1:15" s="48" customFormat="1" x14ac:dyDescent="0.25">
      <c r="A53" s="17">
        <v>7</v>
      </c>
      <c r="B53" s="26" t="s">
        <v>1406</v>
      </c>
      <c r="C53" s="19" t="s">
        <v>56</v>
      </c>
      <c r="D53" s="19">
        <v>1</v>
      </c>
      <c r="E53" s="19">
        <v>3</v>
      </c>
      <c r="F53" s="28">
        <v>25000</v>
      </c>
      <c r="G53" s="442">
        <f t="shared" si="19"/>
        <v>75000</v>
      </c>
      <c r="H53" s="511">
        <f t="shared" si="17"/>
        <v>127.15312627153125</v>
      </c>
      <c r="I53" s="642">
        <f t="shared" ref="I53" si="21">G53*0.03</f>
        <v>2250</v>
      </c>
      <c r="J53" s="642">
        <f>1600*D53</f>
        <v>1600</v>
      </c>
      <c r="K53" s="642">
        <f>G53/D53</f>
        <v>75000</v>
      </c>
      <c r="L53" s="500"/>
      <c r="M53" s="500"/>
      <c r="N53" s="521"/>
      <c r="O53" s="12"/>
    </row>
    <row r="54" spans="1:15" x14ac:dyDescent="0.25">
      <c r="A54" s="22">
        <v>8</v>
      </c>
      <c r="B54" s="26" t="s">
        <v>1407</v>
      </c>
      <c r="C54" s="23" t="s">
        <v>56</v>
      </c>
      <c r="D54" s="19">
        <v>1</v>
      </c>
      <c r="E54" s="19">
        <v>2</v>
      </c>
      <c r="F54" s="28">
        <f>11000+1000</f>
        <v>12000</v>
      </c>
      <c r="G54" s="346">
        <f t="shared" si="19"/>
        <v>24000</v>
      </c>
      <c r="H54" s="509">
        <f t="shared" si="17"/>
        <v>40.689000406890003</v>
      </c>
      <c r="I54" s="642">
        <v>0</v>
      </c>
      <c r="J54" s="642">
        <v>0</v>
      </c>
      <c r="K54" s="642">
        <f>G54/D54</f>
        <v>24000</v>
      </c>
      <c r="L54" s="500"/>
      <c r="M54" s="500"/>
      <c r="N54" s="521"/>
      <c r="O54" s="12"/>
    </row>
    <row r="55" spans="1:15" ht="16.5" thickBot="1" x14ac:dyDescent="0.3">
      <c r="A55" s="22">
        <v>9</v>
      </c>
      <c r="B55" s="26" t="s">
        <v>1408</v>
      </c>
      <c r="C55" s="23" t="s">
        <v>56</v>
      </c>
      <c r="D55" s="19">
        <v>1</v>
      </c>
      <c r="E55" s="19">
        <v>1</v>
      </c>
      <c r="F55" s="28">
        <f>75000-25000</f>
        <v>50000</v>
      </c>
      <c r="G55" s="346">
        <f t="shared" si="19"/>
        <v>50000</v>
      </c>
      <c r="H55" s="510">
        <f t="shared" si="17"/>
        <v>84.7687508476875</v>
      </c>
      <c r="I55" s="642">
        <f t="shared" ref="I55" si="22">G55*0.03</f>
        <v>1500</v>
      </c>
      <c r="J55" s="642">
        <f>1050*D55</f>
        <v>1050</v>
      </c>
      <c r="K55" s="642">
        <f>G55/D55</f>
        <v>50000</v>
      </c>
      <c r="L55" s="500"/>
      <c r="M55" s="500"/>
      <c r="N55" s="521"/>
      <c r="O55" s="12"/>
    </row>
    <row r="56" spans="1:15" ht="18.75" thickBot="1" x14ac:dyDescent="0.3">
      <c r="A56" s="261" t="s">
        <v>1319</v>
      </c>
      <c r="B56" s="262"/>
      <c r="C56" s="261"/>
      <c r="D56" s="261"/>
      <c r="E56" s="261"/>
      <c r="F56" s="263"/>
      <c r="G56" s="263">
        <f>SUM(G47:G55)</f>
        <v>1591000</v>
      </c>
      <c r="H56" s="506">
        <f>SUM(H47:H55)</f>
        <v>2697.341651973416</v>
      </c>
      <c r="I56" s="263">
        <f>SUM(I47:I55)</f>
        <v>17010</v>
      </c>
      <c r="J56" s="263">
        <f>SUM(J47:J55)</f>
        <v>10975</v>
      </c>
      <c r="K56" s="12"/>
      <c r="L56" s="500"/>
      <c r="M56" s="500"/>
      <c r="N56" s="521"/>
      <c r="O56" s="12"/>
    </row>
    <row r="57" spans="1:15" ht="36.75" thickBot="1" x14ac:dyDescent="0.3">
      <c r="A57" s="17"/>
      <c r="B57" s="383" t="s">
        <v>1320</v>
      </c>
      <c r="C57" s="19"/>
      <c r="D57" s="20"/>
      <c r="E57" s="19"/>
      <c r="F57" s="21"/>
      <c r="G57" s="21"/>
      <c r="H57" s="385"/>
      <c r="I57" s="643"/>
      <c r="J57" s="652"/>
      <c r="K57" s="12"/>
      <c r="L57" s="12"/>
      <c r="M57" s="12"/>
      <c r="N57" s="524"/>
      <c r="O57" s="12"/>
    </row>
    <row r="58" spans="1:15" x14ac:dyDescent="0.25">
      <c r="A58" s="22">
        <v>1</v>
      </c>
      <c r="B58" s="22" t="s">
        <v>280</v>
      </c>
      <c r="C58" s="23"/>
      <c r="D58" s="23">
        <v>0</v>
      </c>
      <c r="E58" s="48">
        <v>1</v>
      </c>
      <c r="F58" s="25">
        <v>110000</v>
      </c>
      <c r="G58" s="25">
        <f t="shared" ref="G58:G70" si="23">D58*E58*F58</f>
        <v>0</v>
      </c>
      <c r="H58" s="508">
        <f t="shared" ref="H58:H70" si="24">G58/589.84</f>
        <v>0</v>
      </c>
      <c r="I58" s="643"/>
      <c r="J58" s="652"/>
      <c r="K58" s="12"/>
      <c r="L58" s="12"/>
      <c r="M58" s="12"/>
      <c r="N58" s="524"/>
      <c r="O58" s="12"/>
    </row>
    <row r="59" spans="1:15" x14ac:dyDescent="0.25">
      <c r="A59" s="22">
        <v>2</v>
      </c>
      <c r="B59" s="22" t="s">
        <v>1412</v>
      </c>
      <c r="C59" s="23" t="s">
        <v>1479</v>
      </c>
      <c r="D59" s="17">
        <v>14</v>
      </c>
      <c r="E59" s="17">
        <v>12</v>
      </c>
      <c r="F59" s="730">
        <v>75000</v>
      </c>
      <c r="G59" s="25">
        <f t="shared" si="23"/>
        <v>12600000</v>
      </c>
      <c r="H59" s="509">
        <f t="shared" si="24"/>
        <v>21361.72521361725</v>
      </c>
      <c r="I59" s="642"/>
      <c r="J59" s="642"/>
      <c r="K59" s="12"/>
      <c r="L59" s="12"/>
      <c r="M59" s="12"/>
      <c r="N59" s="524"/>
      <c r="O59" s="12"/>
    </row>
    <row r="60" spans="1:15" x14ac:dyDescent="0.25">
      <c r="A60" s="22">
        <v>3</v>
      </c>
      <c r="B60" s="22" t="s">
        <v>1450</v>
      </c>
      <c r="C60" s="23" t="s">
        <v>1479</v>
      </c>
      <c r="D60" s="23">
        <v>12</v>
      </c>
      <c r="E60" s="23">
        <v>10</v>
      </c>
      <c r="F60" s="25">
        <v>50000</v>
      </c>
      <c r="G60" s="25">
        <f t="shared" si="23"/>
        <v>6000000</v>
      </c>
      <c r="H60" s="509">
        <f t="shared" si="24"/>
        <v>10172.2501017225</v>
      </c>
      <c r="I60" s="642"/>
      <c r="J60" s="642"/>
      <c r="K60" s="12"/>
      <c r="L60" s="12"/>
      <c r="M60" s="12"/>
      <c r="N60" s="524"/>
      <c r="O60" s="12"/>
    </row>
    <row r="61" spans="1:15" x14ac:dyDescent="0.25">
      <c r="A61" s="22">
        <v>4</v>
      </c>
      <c r="B61" s="22" t="s">
        <v>1451</v>
      </c>
      <c r="C61" s="23" t="s">
        <v>1479</v>
      </c>
      <c r="D61" s="23">
        <v>2</v>
      </c>
      <c r="E61" s="23">
        <v>10</v>
      </c>
      <c r="F61" s="25">
        <v>50000</v>
      </c>
      <c r="G61" s="25">
        <f t="shared" si="23"/>
        <v>1000000</v>
      </c>
      <c r="H61" s="509">
        <f t="shared" si="24"/>
        <v>1695.37501695375</v>
      </c>
      <c r="I61" s="642"/>
      <c r="J61" s="642"/>
      <c r="K61" s="12"/>
      <c r="L61" s="12"/>
      <c r="M61" s="12"/>
      <c r="N61" s="524"/>
      <c r="O61" s="12"/>
    </row>
    <row r="62" spans="1:15" x14ac:dyDescent="0.25">
      <c r="A62" s="22">
        <v>5</v>
      </c>
      <c r="B62" s="22" t="s">
        <v>1452</v>
      </c>
      <c r="C62" s="23" t="s">
        <v>1479</v>
      </c>
      <c r="D62" s="23">
        <v>7</v>
      </c>
      <c r="E62" s="23">
        <v>14</v>
      </c>
      <c r="F62" s="25">
        <v>75000</v>
      </c>
      <c r="G62" s="25">
        <f t="shared" si="23"/>
        <v>7350000</v>
      </c>
      <c r="H62" s="509">
        <f t="shared" si="24"/>
        <v>12461.006374610062</v>
      </c>
      <c r="I62" s="642"/>
      <c r="J62" s="642"/>
      <c r="K62" s="12"/>
      <c r="L62" s="12"/>
      <c r="M62" s="12"/>
      <c r="N62" s="524"/>
      <c r="O62" s="12"/>
    </row>
    <row r="63" spans="1:15" x14ac:dyDescent="0.25">
      <c r="A63" s="22"/>
      <c r="B63" s="22" t="s">
        <v>1452</v>
      </c>
      <c r="C63" s="23" t="s">
        <v>1479</v>
      </c>
      <c r="D63" s="23">
        <v>9</v>
      </c>
      <c r="E63" s="23">
        <v>12</v>
      </c>
      <c r="F63" s="25">
        <v>75000</v>
      </c>
      <c r="G63" s="25">
        <f t="shared" ref="G63" si="25">D63*E63*F63</f>
        <v>8100000</v>
      </c>
      <c r="H63" s="509">
        <f t="shared" ref="H63" si="26">G63/589.84</f>
        <v>13732.537637325375</v>
      </c>
      <c r="I63" s="642"/>
      <c r="J63" s="642"/>
      <c r="K63" s="12"/>
      <c r="L63" s="12"/>
      <c r="M63" s="12"/>
      <c r="N63" s="524"/>
      <c r="O63" s="12"/>
    </row>
    <row r="64" spans="1:15" x14ac:dyDescent="0.25">
      <c r="A64" s="22">
        <v>6</v>
      </c>
      <c r="B64" s="22" t="s">
        <v>1478</v>
      </c>
      <c r="C64" s="23" t="s">
        <v>1479</v>
      </c>
      <c r="D64" s="23">
        <v>3</v>
      </c>
      <c r="E64" s="23">
        <v>14</v>
      </c>
      <c r="F64" s="25">
        <v>75000</v>
      </c>
      <c r="G64" s="25">
        <f t="shared" si="23"/>
        <v>3150000</v>
      </c>
      <c r="H64" s="509">
        <f t="shared" si="24"/>
        <v>5340.4313034043125</v>
      </c>
      <c r="I64" s="642"/>
      <c r="J64" s="642"/>
      <c r="K64" s="12"/>
      <c r="L64" s="12"/>
      <c r="M64" s="12"/>
      <c r="N64" s="524"/>
      <c r="O64" s="12"/>
    </row>
    <row r="65" spans="1:15" x14ac:dyDescent="0.25">
      <c r="A65" s="22">
        <v>7</v>
      </c>
      <c r="B65" s="22" t="s">
        <v>1453</v>
      </c>
      <c r="C65" s="23" t="s">
        <v>17</v>
      </c>
      <c r="D65" s="17">
        <f>7*100*0.2*14</f>
        <v>1960</v>
      </c>
      <c r="E65" s="23">
        <v>1</v>
      </c>
      <c r="F65" s="25">
        <v>800</v>
      </c>
      <c r="G65" s="25">
        <f t="shared" si="23"/>
        <v>1568000</v>
      </c>
      <c r="H65" s="509">
        <f t="shared" si="24"/>
        <v>2658.3480265834801</v>
      </c>
      <c r="I65" s="642"/>
      <c r="J65" s="642"/>
      <c r="K65" s="12"/>
      <c r="L65" s="12"/>
      <c r="M65" s="12"/>
      <c r="N65" s="524"/>
      <c r="O65" s="12"/>
    </row>
    <row r="66" spans="1:15" x14ac:dyDescent="0.25">
      <c r="A66" s="22"/>
      <c r="B66" s="22" t="s">
        <v>1453</v>
      </c>
      <c r="C66" s="23" t="s">
        <v>17</v>
      </c>
      <c r="D66" s="17">
        <f>9*100*0.2*12</f>
        <v>2160</v>
      </c>
      <c r="E66" s="23">
        <v>1</v>
      </c>
      <c r="F66" s="25">
        <v>800</v>
      </c>
      <c r="G66" s="25">
        <f t="shared" ref="G66" si="27">D66*E66*F66</f>
        <v>1728000</v>
      </c>
      <c r="H66" s="509">
        <f t="shared" ref="H66" si="28">G66/589.84</f>
        <v>2929.6080292960801</v>
      </c>
      <c r="I66" s="642"/>
      <c r="J66" s="642"/>
      <c r="K66" s="12"/>
      <c r="L66" s="12"/>
      <c r="M66" s="12"/>
      <c r="N66" s="524"/>
      <c r="O66" s="12"/>
    </row>
    <row r="67" spans="1:15" x14ac:dyDescent="0.25">
      <c r="A67" s="22">
        <v>8</v>
      </c>
      <c r="B67" s="26" t="s">
        <v>1480</v>
      </c>
      <c r="C67" s="23" t="s">
        <v>85</v>
      </c>
      <c r="D67" s="23">
        <v>1</v>
      </c>
      <c r="E67" s="23">
        <v>2</v>
      </c>
      <c r="F67" s="25">
        <v>4000</v>
      </c>
      <c r="G67" s="25">
        <f t="shared" si="23"/>
        <v>8000</v>
      </c>
      <c r="H67" s="509">
        <f t="shared" si="24"/>
        <v>13.56300013563</v>
      </c>
      <c r="I67" s="643"/>
      <c r="J67" s="652"/>
      <c r="K67" s="12"/>
      <c r="L67" s="12"/>
      <c r="M67" s="12"/>
      <c r="N67" s="524"/>
      <c r="O67" s="12"/>
    </row>
    <row r="68" spans="1:15" x14ac:dyDescent="0.25">
      <c r="A68" s="22">
        <v>9</v>
      </c>
      <c r="B68" s="26" t="s">
        <v>281</v>
      </c>
      <c r="C68" s="23"/>
      <c r="D68" s="23">
        <v>0</v>
      </c>
      <c r="E68" s="23">
        <v>1</v>
      </c>
      <c r="F68" s="25">
        <v>3900</v>
      </c>
      <c r="G68" s="25">
        <f t="shared" si="23"/>
        <v>0</v>
      </c>
      <c r="H68" s="509">
        <f t="shared" si="24"/>
        <v>0</v>
      </c>
      <c r="I68" s="643"/>
      <c r="J68" s="652"/>
      <c r="K68" s="12"/>
      <c r="L68" s="12"/>
      <c r="M68" s="12"/>
      <c r="N68" s="524"/>
      <c r="O68" s="12"/>
    </row>
    <row r="69" spans="1:15" ht="16.5" thickBot="1" x14ac:dyDescent="0.3">
      <c r="A69" s="22">
        <v>10</v>
      </c>
      <c r="B69" s="26" t="s">
        <v>282</v>
      </c>
      <c r="C69" s="23"/>
      <c r="D69" s="23">
        <v>0</v>
      </c>
      <c r="E69" s="23">
        <v>1</v>
      </c>
      <c r="F69" s="25">
        <v>3800</v>
      </c>
      <c r="G69" s="25">
        <f t="shared" si="23"/>
        <v>0</v>
      </c>
      <c r="H69" s="510">
        <f t="shared" si="24"/>
        <v>0</v>
      </c>
      <c r="I69" s="643"/>
      <c r="J69" s="652"/>
      <c r="K69" s="12"/>
      <c r="L69" s="12"/>
      <c r="M69" s="12"/>
      <c r="N69" s="524"/>
      <c r="O69" s="12"/>
    </row>
    <row r="70" spans="1:15" ht="16.5" thickBot="1" x14ac:dyDescent="0.3">
      <c r="A70" s="22">
        <v>11</v>
      </c>
      <c r="B70" s="27" t="s">
        <v>283</v>
      </c>
      <c r="C70" s="23"/>
      <c r="D70" s="23">
        <v>0</v>
      </c>
      <c r="E70" s="23">
        <v>1</v>
      </c>
      <c r="F70" s="25">
        <v>3800</v>
      </c>
      <c r="G70" s="25">
        <f t="shared" si="23"/>
        <v>0</v>
      </c>
      <c r="H70" s="509">
        <f t="shared" si="24"/>
        <v>0</v>
      </c>
      <c r="I70" s="643"/>
      <c r="J70" s="652"/>
      <c r="K70" s="12"/>
      <c r="L70" s="12"/>
      <c r="M70" s="12"/>
      <c r="N70" s="524"/>
      <c r="O70" s="12"/>
    </row>
    <row r="71" spans="1:15" ht="18.75" thickBot="1" x14ac:dyDescent="0.3">
      <c r="A71" s="261" t="s">
        <v>1619</v>
      </c>
      <c r="B71" s="262"/>
      <c r="C71" s="261"/>
      <c r="D71" s="261"/>
      <c r="E71" s="261"/>
      <c r="F71" s="263"/>
      <c r="G71" s="263">
        <f>SUM(G58:G70)</f>
        <v>41504000</v>
      </c>
      <c r="H71" s="506">
        <f>SUM(H58:H70)</f>
        <v>70364.844703648443</v>
      </c>
      <c r="I71" s="263">
        <f>SUM(I59:I70)</f>
        <v>0</v>
      </c>
      <c r="J71" s="263">
        <f>SUM(J59:J70)</f>
        <v>0</v>
      </c>
      <c r="K71" s="12"/>
      <c r="L71" s="12"/>
      <c r="M71" s="12"/>
      <c r="N71" s="524"/>
      <c r="O71" s="12"/>
    </row>
    <row r="72" spans="1:15" ht="18" x14ac:dyDescent="0.25">
      <c r="A72" s="17"/>
      <c r="B72" s="18" t="s">
        <v>1618</v>
      </c>
      <c r="C72" s="19"/>
      <c r="D72" s="20"/>
      <c r="E72" s="19"/>
      <c r="F72" s="21"/>
      <c r="G72" s="21"/>
      <c r="H72"/>
      <c r="I72" s="643"/>
      <c r="J72" s="652"/>
      <c r="K72" s="12"/>
      <c r="L72" s="12"/>
      <c r="M72" s="12"/>
      <c r="N72" s="524"/>
      <c r="O72" s="12"/>
    </row>
    <row r="73" spans="1:15" x14ac:dyDescent="0.25">
      <c r="A73" s="22">
        <v>1</v>
      </c>
      <c r="B73" s="26" t="s">
        <v>1415</v>
      </c>
      <c r="C73" s="23" t="s">
        <v>28</v>
      </c>
      <c r="D73" s="23">
        <v>0</v>
      </c>
      <c r="E73" s="23">
        <v>3</v>
      </c>
      <c r="F73" s="25">
        <v>25000</v>
      </c>
      <c r="G73" s="25">
        <f t="shared" ref="G73:G88" si="29">D73*E73*F73</f>
        <v>0</v>
      </c>
      <c r="H73" s="509">
        <f>G73/589.84</f>
        <v>0</v>
      </c>
      <c r="I73" s="642">
        <f>G73*0.03</f>
        <v>0</v>
      </c>
      <c r="J73" s="642">
        <f>1600*D73</f>
        <v>0</v>
      </c>
      <c r="K73" s="642" t="e">
        <f>G73/D73</f>
        <v>#DIV/0!</v>
      </c>
      <c r="L73" s="12"/>
      <c r="M73" s="12"/>
      <c r="N73" s="524"/>
      <c r="O73" s="12"/>
    </row>
    <row r="74" spans="1:15" x14ac:dyDescent="0.25">
      <c r="A74" s="22">
        <v>2</v>
      </c>
      <c r="B74" s="26" t="s">
        <v>1413</v>
      </c>
      <c r="C74" s="23" t="s">
        <v>28</v>
      </c>
      <c r="D74" s="23">
        <v>0</v>
      </c>
      <c r="E74" s="23">
        <v>3</v>
      </c>
      <c r="F74" s="25">
        <v>25000</v>
      </c>
      <c r="G74" s="25">
        <f t="shared" si="29"/>
        <v>0</v>
      </c>
      <c r="H74" s="509">
        <f>G74/589.84</f>
        <v>0</v>
      </c>
      <c r="I74" s="642">
        <f t="shared" ref="I74:I83" si="30">G74*0.03</f>
        <v>0</v>
      </c>
      <c r="J74" s="642">
        <f t="shared" ref="J74" si="31">1600*D74</f>
        <v>0</v>
      </c>
      <c r="K74" s="642" t="e">
        <f t="shared" ref="K74:K83" si="32">G74/D74</f>
        <v>#DIV/0!</v>
      </c>
      <c r="L74" s="12"/>
      <c r="M74" s="12"/>
      <c r="N74" s="524"/>
      <c r="O74" s="12"/>
    </row>
    <row r="75" spans="1:15" ht="28.5" x14ac:dyDescent="0.25">
      <c r="A75" s="22">
        <v>3</v>
      </c>
      <c r="B75" s="26" t="s">
        <v>1416</v>
      </c>
      <c r="C75" s="23" t="s">
        <v>28</v>
      </c>
      <c r="D75" s="23">
        <v>0</v>
      </c>
      <c r="E75" s="23">
        <v>5</v>
      </c>
      <c r="F75" s="25">
        <v>25000</v>
      </c>
      <c r="G75" s="25">
        <f t="shared" si="29"/>
        <v>0</v>
      </c>
      <c r="H75" s="509">
        <f t="shared" ref="H75:H88" si="33">G75/589.84</f>
        <v>0</v>
      </c>
      <c r="I75" s="642">
        <f t="shared" si="30"/>
        <v>0</v>
      </c>
      <c r="J75" s="642">
        <f>1900*D75</f>
        <v>0</v>
      </c>
      <c r="K75" s="642" t="e">
        <f t="shared" si="32"/>
        <v>#DIV/0!</v>
      </c>
      <c r="L75" s="12"/>
      <c r="M75" s="12"/>
      <c r="N75" s="524"/>
      <c r="O75" s="12"/>
    </row>
    <row r="76" spans="1:15" ht="28.5" x14ac:dyDescent="0.25">
      <c r="A76" s="22">
        <v>4</v>
      </c>
      <c r="B76" s="26" t="s">
        <v>1414</v>
      </c>
      <c r="C76" s="23" t="s">
        <v>28</v>
      </c>
      <c r="D76" s="23">
        <v>0</v>
      </c>
      <c r="E76" s="23">
        <v>5</v>
      </c>
      <c r="F76" s="25">
        <v>25000</v>
      </c>
      <c r="G76" s="25">
        <f t="shared" si="29"/>
        <v>0</v>
      </c>
      <c r="H76" s="509">
        <f t="shared" si="33"/>
        <v>0</v>
      </c>
      <c r="I76" s="642">
        <f t="shared" si="30"/>
        <v>0</v>
      </c>
      <c r="J76" s="642">
        <f>1900*D76</f>
        <v>0</v>
      </c>
      <c r="K76" s="642" t="e">
        <f t="shared" si="32"/>
        <v>#DIV/0!</v>
      </c>
      <c r="L76" s="12"/>
      <c r="M76" s="12"/>
      <c r="N76" s="524"/>
      <c r="O76" s="12"/>
    </row>
    <row r="77" spans="1:15" x14ac:dyDescent="0.25">
      <c r="A77" s="22">
        <v>5</v>
      </c>
      <c r="B77" s="26" t="s">
        <v>284</v>
      </c>
      <c r="C77" s="23" t="s">
        <v>28</v>
      </c>
      <c r="D77" s="23">
        <v>0</v>
      </c>
      <c r="E77" s="23">
        <v>5</v>
      </c>
      <c r="F77" s="25">
        <v>25000</v>
      </c>
      <c r="G77" s="25">
        <f t="shared" si="29"/>
        <v>0</v>
      </c>
      <c r="H77" s="509">
        <f t="shared" si="33"/>
        <v>0</v>
      </c>
      <c r="I77" s="642">
        <f t="shared" si="30"/>
        <v>0</v>
      </c>
      <c r="J77" s="642">
        <f>1900*D77</f>
        <v>0</v>
      </c>
      <c r="K77" s="642" t="e">
        <f t="shared" si="32"/>
        <v>#DIV/0!</v>
      </c>
      <c r="L77" s="12"/>
      <c r="M77" s="12"/>
      <c r="N77" s="524"/>
      <c r="O77" s="12"/>
    </row>
    <row r="78" spans="1:15" x14ac:dyDescent="0.25">
      <c r="A78" s="22">
        <v>6</v>
      </c>
      <c r="B78" s="26" t="s">
        <v>285</v>
      </c>
      <c r="C78" s="23" t="s">
        <v>28</v>
      </c>
      <c r="D78" s="23">
        <v>0</v>
      </c>
      <c r="E78" s="23">
        <v>2</v>
      </c>
      <c r="F78" s="25">
        <v>12000</v>
      </c>
      <c r="G78" s="25">
        <f t="shared" si="29"/>
        <v>0</v>
      </c>
      <c r="H78" s="509">
        <f t="shared" si="33"/>
        <v>0</v>
      </c>
      <c r="I78" s="642">
        <v>0</v>
      </c>
      <c r="J78" s="642">
        <v>0</v>
      </c>
      <c r="K78" s="642" t="e">
        <f t="shared" si="32"/>
        <v>#DIV/0!</v>
      </c>
      <c r="L78" s="12"/>
      <c r="M78" s="12"/>
      <c r="N78" s="524"/>
      <c r="O78" s="12"/>
    </row>
    <row r="79" spans="1:15" ht="16.5" thickBot="1" x14ac:dyDescent="0.3">
      <c r="A79" s="22">
        <v>7</v>
      </c>
      <c r="B79" s="26" t="s">
        <v>1419</v>
      </c>
      <c r="C79" s="23" t="s">
        <v>28</v>
      </c>
      <c r="D79" s="23">
        <v>22</v>
      </c>
      <c r="E79" s="23">
        <v>3</v>
      </c>
      <c r="F79" s="25">
        <v>5000</v>
      </c>
      <c r="G79" s="25">
        <f t="shared" si="29"/>
        <v>330000</v>
      </c>
      <c r="H79" s="510">
        <f t="shared" si="33"/>
        <v>559.47375559473755</v>
      </c>
      <c r="I79" s="642">
        <f t="shared" si="30"/>
        <v>9900</v>
      </c>
      <c r="J79" s="642">
        <f>450*D79</f>
        <v>9900</v>
      </c>
      <c r="K79" s="642">
        <f t="shared" si="32"/>
        <v>15000</v>
      </c>
      <c r="L79" s="12"/>
      <c r="M79" s="12"/>
      <c r="N79" s="524"/>
      <c r="O79" s="12"/>
    </row>
    <row r="80" spans="1:15" ht="16.5" thickBot="1" x14ac:dyDescent="0.3">
      <c r="A80" s="22">
        <v>8</v>
      </c>
      <c r="B80" s="26" t="s">
        <v>1418</v>
      </c>
      <c r="C80" s="23" t="s">
        <v>28</v>
      </c>
      <c r="D80" s="23">
        <v>0</v>
      </c>
      <c r="E80" s="23">
        <v>3</v>
      </c>
      <c r="F80" s="25">
        <v>5000</v>
      </c>
      <c r="G80" s="25">
        <f t="shared" si="29"/>
        <v>0</v>
      </c>
      <c r="H80" s="510">
        <f t="shared" si="33"/>
        <v>0</v>
      </c>
      <c r="I80" s="642">
        <f t="shared" si="30"/>
        <v>0</v>
      </c>
      <c r="J80" s="642">
        <f>450*D80</f>
        <v>0</v>
      </c>
      <c r="K80" s="642" t="e">
        <f t="shared" si="32"/>
        <v>#DIV/0!</v>
      </c>
      <c r="L80" s="12"/>
      <c r="M80" s="12"/>
      <c r="N80" s="524"/>
      <c r="O80" s="12"/>
    </row>
    <row r="81" spans="1:15" x14ac:dyDescent="0.25">
      <c r="A81" s="22">
        <v>9</v>
      </c>
      <c r="B81" s="26" t="s">
        <v>1417</v>
      </c>
      <c r="C81" s="23" t="s">
        <v>28</v>
      </c>
      <c r="D81" s="23">
        <f>3+1+0+3+1+1+2+2+2</f>
        <v>15</v>
      </c>
      <c r="E81" s="23">
        <v>3</v>
      </c>
      <c r="F81" s="25">
        <v>5000</v>
      </c>
      <c r="G81" s="25">
        <f t="shared" si="29"/>
        <v>225000</v>
      </c>
      <c r="H81" s="512">
        <f t="shared" si="33"/>
        <v>381.45937881459378</v>
      </c>
      <c r="I81" s="642">
        <f t="shared" si="30"/>
        <v>6750</v>
      </c>
      <c r="J81" s="642">
        <f>450*D81</f>
        <v>6750</v>
      </c>
      <c r="K81" s="642">
        <f t="shared" si="32"/>
        <v>15000</v>
      </c>
      <c r="L81" s="12"/>
      <c r="M81" s="12"/>
      <c r="N81" s="524"/>
      <c r="O81" s="12"/>
    </row>
    <row r="82" spans="1:15" x14ac:dyDescent="0.25">
      <c r="A82" s="22">
        <v>10</v>
      </c>
      <c r="B82" s="26" t="s">
        <v>287</v>
      </c>
      <c r="C82" s="23" t="s">
        <v>28</v>
      </c>
      <c r="D82" s="23">
        <v>6</v>
      </c>
      <c r="E82" s="23">
        <v>3</v>
      </c>
      <c r="F82" s="25">
        <v>12500</v>
      </c>
      <c r="G82" s="25">
        <f t="shared" si="29"/>
        <v>225000</v>
      </c>
      <c r="H82" s="509">
        <f t="shared" si="33"/>
        <v>381.45937881459378</v>
      </c>
      <c r="I82" s="642">
        <f t="shared" si="30"/>
        <v>6750</v>
      </c>
      <c r="J82" s="642">
        <f>1050*D82</f>
        <v>6300</v>
      </c>
      <c r="K82" s="642">
        <f t="shared" si="32"/>
        <v>37500</v>
      </c>
      <c r="L82" s="12"/>
      <c r="M82" s="12"/>
      <c r="N82" s="524"/>
      <c r="O82" s="12"/>
    </row>
    <row r="83" spans="1:15" x14ac:dyDescent="0.25">
      <c r="A83" s="22">
        <v>11</v>
      </c>
      <c r="B83" s="26" t="s">
        <v>39</v>
      </c>
      <c r="C83" s="23" t="s">
        <v>28</v>
      </c>
      <c r="D83" s="23">
        <v>2</v>
      </c>
      <c r="E83" s="23">
        <v>3</v>
      </c>
      <c r="F83" s="25">
        <v>5000</v>
      </c>
      <c r="G83" s="25">
        <f>D83*E83*F83</f>
        <v>30000</v>
      </c>
      <c r="H83" s="509">
        <f t="shared" si="33"/>
        <v>50.8612505086125</v>
      </c>
      <c r="I83" s="642">
        <f t="shared" si="30"/>
        <v>900</v>
      </c>
      <c r="J83" s="642">
        <f>450*D83</f>
        <v>900</v>
      </c>
      <c r="K83" s="642">
        <f t="shared" si="32"/>
        <v>15000</v>
      </c>
      <c r="L83" s="12"/>
      <c r="M83" s="12"/>
      <c r="N83" s="524"/>
      <c r="O83" s="12"/>
    </row>
    <row r="84" spans="1:15" x14ac:dyDescent="0.25">
      <c r="A84" s="22">
        <v>12</v>
      </c>
      <c r="B84" s="26" t="s">
        <v>1633</v>
      </c>
      <c r="C84" s="23" t="s">
        <v>28</v>
      </c>
      <c r="D84" s="23">
        <v>21</v>
      </c>
      <c r="E84" s="23">
        <v>3</v>
      </c>
      <c r="F84" s="25">
        <v>0</v>
      </c>
      <c r="G84" s="25">
        <f>D84*E84*F84</f>
        <v>0</v>
      </c>
      <c r="H84" s="509">
        <f t="shared" si="33"/>
        <v>0</v>
      </c>
      <c r="I84" s="643"/>
      <c r="J84" s="652"/>
      <c r="K84" s="12"/>
      <c r="L84" s="12"/>
      <c r="M84" s="12"/>
      <c r="N84" s="524"/>
      <c r="O84" s="12"/>
    </row>
    <row r="85" spans="1:15" x14ac:dyDescent="0.25">
      <c r="A85" s="22">
        <v>15</v>
      </c>
      <c r="B85" s="26" t="s">
        <v>288</v>
      </c>
      <c r="C85" s="23" t="s">
        <v>28</v>
      </c>
      <c r="D85" s="23">
        <v>1</v>
      </c>
      <c r="E85" s="23">
        <v>3</v>
      </c>
      <c r="F85" s="25">
        <v>0</v>
      </c>
      <c r="G85" s="25">
        <f t="shared" si="29"/>
        <v>0</v>
      </c>
      <c r="H85" s="509">
        <f t="shared" si="33"/>
        <v>0</v>
      </c>
      <c r="I85" s="643"/>
      <c r="J85" s="652"/>
      <c r="K85" s="12"/>
      <c r="L85" s="12"/>
      <c r="M85" s="12"/>
      <c r="N85" s="524"/>
      <c r="O85" s="12"/>
    </row>
    <row r="86" spans="1:15" x14ac:dyDescent="0.25">
      <c r="A86" s="22">
        <v>16</v>
      </c>
      <c r="B86" s="26" t="s">
        <v>272</v>
      </c>
      <c r="C86" s="23" t="s">
        <v>28</v>
      </c>
      <c r="D86" s="23">
        <f>SUM(D73:D85)</f>
        <v>67</v>
      </c>
      <c r="E86" s="23">
        <v>3</v>
      </c>
      <c r="F86" s="25">
        <v>9000</v>
      </c>
      <c r="G86" s="25">
        <f t="shared" si="29"/>
        <v>1809000</v>
      </c>
      <c r="H86" s="509">
        <f t="shared" si="33"/>
        <v>3066.9334056693338</v>
      </c>
      <c r="I86" s="642"/>
      <c r="J86" s="642"/>
      <c r="K86" s="12"/>
      <c r="L86" s="12"/>
      <c r="M86" s="12"/>
      <c r="N86" s="524"/>
      <c r="O86" s="12"/>
    </row>
    <row r="87" spans="1:15" ht="16.5" thickBot="1" x14ac:dyDescent="0.3">
      <c r="A87" s="22">
        <v>17</v>
      </c>
      <c r="B87" s="26" t="s">
        <v>289</v>
      </c>
      <c r="C87" s="23" t="s">
        <v>28</v>
      </c>
      <c r="D87" s="23">
        <v>0</v>
      </c>
      <c r="E87" s="23">
        <v>1</v>
      </c>
      <c r="F87" s="25">
        <v>2500</v>
      </c>
      <c r="G87" s="25">
        <f t="shared" si="29"/>
        <v>0</v>
      </c>
      <c r="H87" s="510">
        <f t="shared" si="33"/>
        <v>0</v>
      </c>
      <c r="I87" s="643"/>
      <c r="J87" s="643"/>
      <c r="K87" s="12"/>
      <c r="L87" s="12"/>
      <c r="M87" s="12"/>
      <c r="N87" s="524"/>
      <c r="O87" s="12"/>
    </row>
    <row r="88" spans="1:15" ht="16.5" thickBot="1" x14ac:dyDescent="0.3">
      <c r="A88" s="387">
        <v>18</v>
      </c>
      <c r="B88" s="26" t="s">
        <v>286</v>
      </c>
      <c r="C88" s="388" t="s">
        <v>90</v>
      </c>
      <c r="D88" s="388">
        <v>0</v>
      </c>
      <c r="E88" s="388">
        <v>1</v>
      </c>
      <c r="F88" s="25">
        <v>800</v>
      </c>
      <c r="G88" s="25">
        <f t="shared" si="29"/>
        <v>0</v>
      </c>
      <c r="H88" s="510">
        <f t="shared" si="33"/>
        <v>0</v>
      </c>
      <c r="I88" s="643"/>
      <c r="J88" s="652"/>
      <c r="K88" s="12"/>
      <c r="L88" s="12"/>
      <c r="M88" s="12"/>
      <c r="N88" s="524"/>
      <c r="O88" s="12"/>
    </row>
    <row r="89" spans="1:15" ht="18.75" thickBot="1" x14ac:dyDescent="0.3">
      <c r="A89" s="261" t="s">
        <v>1321</v>
      </c>
      <c r="B89" s="262"/>
      <c r="C89" s="261"/>
      <c r="D89" s="261"/>
      <c r="E89" s="261"/>
      <c r="F89" s="263"/>
      <c r="G89" s="263">
        <f>SUM(G73:G88)</f>
        <v>2619000</v>
      </c>
      <c r="H89" s="506">
        <f>SUM(H73:H88)</f>
        <v>4440.1871694018719</v>
      </c>
      <c r="I89" s="263">
        <f>SUM(I73:I88)</f>
        <v>24300</v>
      </c>
      <c r="J89" s="263">
        <f>SUM(J73:J88)</f>
        <v>23850</v>
      </c>
      <c r="K89" s="12"/>
      <c r="L89" s="12"/>
      <c r="M89" s="12"/>
      <c r="N89" s="524"/>
      <c r="O89" s="12"/>
    </row>
    <row r="90" spans="1:15" ht="18" x14ac:dyDescent="0.25">
      <c r="A90" s="17"/>
      <c r="B90" s="18" t="s">
        <v>1322</v>
      </c>
      <c r="C90" s="19"/>
      <c r="D90" s="20"/>
      <c r="E90" s="19"/>
      <c r="F90" s="21"/>
      <c r="G90" s="668"/>
      <c r="H90"/>
      <c r="I90" s="644"/>
      <c r="J90" s="653"/>
      <c r="K90" s="500"/>
      <c r="L90" s="500"/>
      <c r="M90" s="500"/>
      <c r="N90" s="521"/>
      <c r="O90" s="12"/>
    </row>
    <row r="91" spans="1:15" ht="28.5" x14ac:dyDescent="0.25">
      <c r="A91" s="22">
        <v>1</v>
      </c>
      <c r="B91" s="26" t="s">
        <v>1592</v>
      </c>
      <c r="C91" s="23" t="s">
        <v>28</v>
      </c>
      <c r="D91" s="23">
        <v>8</v>
      </c>
      <c r="E91" s="23">
        <v>2</v>
      </c>
      <c r="F91" s="28">
        <v>25000</v>
      </c>
      <c r="G91" s="28">
        <f>D91*E91*F91</f>
        <v>400000</v>
      </c>
      <c r="H91" s="435">
        <f>G91/589.84</f>
        <v>678.1500067815</v>
      </c>
      <c r="I91" s="642">
        <f>G91*0.03</f>
        <v>12000</v>
      </c>
      <c r="J91" s="642">
        <f>1050*D91</f>
        <v>8400</v>
      </c>
      <c r="K91" s="642">
        <f t="shared" ref="K91:K100" si="34">G91/D91</f>
        <v>50000</v>
      </c>
      <c r="L91" s="500"/>
      <c r="M91" s="500"/>
      <c r="N91" s="521"/>
      <c r="O91" s="12"/>
    </row>
    <row r="92" spans="1:15" ht="28.5" x14ac:dyDescent="0.25">
      <c r="A92" s="22">
        <v>2</v>
      </c>
      <c r="B92" s="26" t="s">
        <v>1593</v>
      </c>
      <c r="C92" s="23" t="s">
        <v>28</v>
      </c>
      <c r="D92" s="23">
        <v>10</v>
      </c>
      <c r="E92" s="23">
        <v>3</v>
      </c>
      <c r="F92" s="28">
        <v>25000</v>
      </c>
      <c r="G92" s="28">
        <f t="shared" ref="G92:G109" si="35">D92*E92*F92</f>
        <v>750000</v>
      </c>
      <c r="H92" s="435">
        <f>G92/589.84</f>
        <v>1271.5312627153126</v>
      </c>
      <c r="I92" s="642">
        <f t="shared" ref="I92:I100" si="36">G92*0.03</f>
        <v>22500</v>
      </c>
      <c r="J92" s="642">
        <f>1600*D92</f>
        <v>16000</v>
      </c>
      <c r="K92" s="642">
        <f t="shared" si="34"/>
        <v>75000</v>
      </c>
      <c r="L92" s="500"/>
      <c r="M92" s="500"/>
      <c r="N92" s="521"/>
      <c r="O92" s="12"/>
    </row>
    <row r="93" spans="1:15" x14ac:dyDescent="0.25">
      <c r="A93" s="22">
        <v>3</v>
      </c>
      <c r="B93" s="26" t="s">
        <v>1594</v>
      </c>
      <c r="C93" s="23" t="s">
        <v>28</v>
      </c>
      <c r="D93" s="23">
        <v>2</v>
      </c>
      <c r="E93" s="23">
        <v>5</v>
      </c>
      <c r="F93" s="28">
        <v>25000</v>
      </c>
      <c r="G93" s="28">
        <f t="shared" si="35"/>
        <v>250000</v>
      </c>
      <c r="H93" s="435">
        <f t="shared" ref="H93:H109" si="37">G93/589.84</f>
        <v>423.8437542384375</v>
      </c>
      <c r="I93" s="642">
        <f t="shared" si="36"/>
        <v>7500</v>
      </c>
      <c r="J93" s="642">
        <f>1900*D93</f>
        <v>3800</v>
      </c>
      <c r="K93" s="642">
        <f t="shared" si="34"/>
        <v>125000</v>
      </c>
      <c r="L93" s="500"/>
      <c r="M93" s="500"/>
      <c r="N93" s="521"/>
      <c r="O93" s="12"/>
    </row>
    <row r="94" spans="1:15" x14ac:dyDescent="0.25">
      <c r="A94" s="22">
        <v>4</v>
      </c>
      <c r="B94" s="26" t="s">
        <v>1595</v>
      </c>
      <c r="C94" s="23" t="s">
        <v>28</v>
      </c>
      <c r="D94" s="23">
        <v>22</v>
      </c>
      <c r="E94" s="23">
        <v>2</v>
      </c>
      <c r="F94" s="28">
        <v>25000</v>
      </c>
      <c r="G94" s="28">
        <f t="shared" si="35"/>
        <v>1100000</v>
      </c>
      <c r="H94" s="435">
        <f t="shared" si="37"/>
        <v>1864.9125186491251</v>
      </c>
      <c r="I94" s="642">
        <f t="shared" si="36"/>
        <v>33000</v>
      </c>
      <c r="J94" s="642">
        <f>1050*D94</f>
        <v>23100</v>
      </c>
      <c r="K94" s="642">
        <f t="shared" si="34"/>
        <v>50000</v>
      </c>
      <c r="L94" s="500"/>
      <c r="M94" s="500"/>
      <c r="N94" s="521"/>
      <c r="O94" s="12"/>
    </row>
    <row r="95" spans="1:15" x14ac:dyDescent="0.25">
      <c r="A95" s="22">
        <v>5</v>
      </c>
      <c r="B95" s="26" t="s">
        <v>1596</v>
      </c>
      <c r="C95" s="23" t="s">
        <v>28</v>
      </c>
      <c r="D95" s="23">
        <v>2</v>
      </c>
      <c r="E95" s="23">
        <v>2</v>
      </c>
      <c r="F95" s="28">
        <v>25000</v>
      </c>
      <c r="G95" s="28">
        <f t="shared" si="35"/>
        <v>100000</v>
      </c>
      <c r="H95" s="435">
        <f t="shared" si="37"/>
        <v>169.537501695375</v>
      </c>
      <c r="I95" s="642">
        <f t="shared" si="36"/>
        <v>3000</v>
      </c>
      <c r="J95" s="642">
        <f>1050*D95</f>
        <v>2100</v>
      </c>
      <c r="K95" s="642">
        <f t="shared" si="34"/>
        <v>50000</v>
      </c>
      <c r="L95" s="500"/>
      <c r="M95" s="500"/>
      <c r="N95" s="521"/>
      <c r="O95" s="12"/>
    </row>
    <row r="96" spans="1:15" ht="28.5" x14ac:dyDescent="0.25">
      <c r="A96" s="22">
        <v>6</v>
      </c>
      <c r="B96" s="26" t="s">
        <v>1597</v>
      </c>
      <c r="C96" s="23" t="s">
        <v>28</v>
      </c>
      <c r="D96" s="23">
        <v>4</v>
      </c>
      <c r="E96" s="23">
        <v>2</v>
      </c>
      <c r="F96" s="28">
        <v>25000</v>
      </c>
      <c r="G96" s="28">
        <f t="shared" si="35"/>
        <v>200000</v>
      </c>
      <c r="H96" s="435">
        <f t="shared" si="37"/>
        <v>339.07500339075</v>
      </c>
      <c r="I96" s="642">
        <f t="shared" si="36"/>
        <v>6000</v>
      </c>
      <c r="J96" s="642">
        <f>1050*D96</f>
        <v>4200</v>
      </c>
      <c r="K96" s="642">
        <f t="shared" si="34"/>
        <v>50000</v>
      </c>
      <c r="L96" s="500"/>
      <c r="M96" s="500"/>
      <c r="N96" s="521"/>
      <c r="O96" s="12"/>
    </row>
    <row r="97" spans="1:15" ht="28.5" x14ac:dyDescent="0.25">
      <c r="A97" s="22">
        <v>7</v>
      </c>
      <c r="B97" s="26" t="s">
        <v>1598</v>
      </c>
      <c r="C97" s="23" t="s">
        <v>28</v>
      </c>
      <c r="D97" s="23">
        <v>5</v>
      </c>
      <c r="E97" s="23">
        <v>3</v>
      </c>
      <c r="F97" s="28">
        <v>25000</v>
      </c>
      <c r="G97" s="28">
        <f t="shared" si="35"/>
        <v>375000</v>
      </c>
      <c r="H97" s="435">
        <f t="shared" si="37"/>
        <v>635.76563135765628</v>
      </c>
      <c r="I97" s="642">
        <f t="shared" si="36"/>
        <v>11250</v>
      </c>
      <c r="J97" s="642">
        <f>1600*D97</f>
        <v>8000</v>
      </c>
      <c r="K97" s="642">
        <f t="shared" si="34"/>
        <v>75000</v>
      </c>
      <c r="L97" s="500"/>
      <c r="M97" s="500"/>
      <c r="N97" s="521"/>
      <c r="O97" s="12"/>
    </row>
    <row r="98" spans="1:15" x14ac:dyDescent="0.25">
      <c r="A98" s="22">
        <v>8</v>
      </c>
      <c r="B98" s="26" t="s">
        <v>1599</v>
      </c>
      <c r="C98" s="23" t="s">
        <v>28</v>
      </c>
      <c r="D98" s="23">
        <v>2</v>
      </c>
      <c r="E98" s="23">
        <v>2</v>
      </c>
      <c r="F98" s="28">
        <v>25000</v>
      </c>
      <c r="G98" s="28">
        <f t="shared" si="35"/>
        <v>100000</v>
      </c>
      <c r="H98" s="435">
        <f t="shared" si="37"/>
        <v>169.537501695375</v>
      </c>
      <c r="I98" s="642">
        <f t="shared" si="36"/>
        <v>3000</v>
      </c>
      <c r="J98" s="642">
        <f>1050*D98</f>
        <v>2100</v>
      </c>
      <c r="K98" s="642">
        <f t="shared" si="34"/>
        <v>50000</v>
      </c>
      <c r="L98" s="500"/>
      <c r="M98" s="500"/>
      <c r="N98" s="521"/>
      <c r="O98" s="12"/>
    </row>
    <row r="99" spans="1:15" x14ac:dyDescent="0.25">
      <c r="A99" s="22"/>
      <c r="B99" s="26" t="s">
        <v>1601</v>
      </c>
      <c r="C99" s="23" t="s">
        <v>28</v>
      </c>
      <c r="D99" s="23">
        <v>4</v>
      </c>
      <c r="E99" s="23">
        <v>2</v>
      </c>
      <c r="F99" s="28">
        <v>25000</v>
      </c>
      <c r="G99" s="28">
        <f t="shared" si="35"/>
        <v>200000</v>
      </c>
      <c r="H99" s="435">
        <f t="shared" si="37"/>
        <v>339.07500339075</v>
      </c>
      <c r="I99" s="642">
        <f t="shared" si="36"/>
        <v>6000</v>
      </c>
      <c r="J99" s="642">
        <f>1050*D99</f>
        <v>4200</v>
      </c>
      <c r="K99" s="642">
        <f t="shared" si="34"/>
        <v>50000</v>
      </c>
      <c r="L99" s="500"/>
      <c r="M99" s="500"/>
      <c r="N99" s="521"/>
      <c r="O99" s="12"/>
    </row>
    <row r="100" spans="1:15" x14ac:dyDescent="0.25">
      <c r="A100" s="22">
        <v>9</v>
      </c>
      <c r="B100" s="26" t="s">
        <v>1600</v>
      </c>
      <c r="C100" s="23" t="s">
        <v>28</v>
      </c>
      <c r="D100" s="23">
        <v>1</v>
      </c>
      <c r="E100" s="23">
        <v>2</v>
      </c>
      <c r="F100" s="28">
        <v>25000</v>
      </c>
      <c r="G100" s="28">
        <f t="shared" si="35"/>
        <v>50000</v>
      </c>
      <c r="H100" s="435">
        <f t="shared" si="37"/>
        <v>84.7687508476875</v>
      </c>
      <c r="I100" s="642">
        <f t="shared" si="36"/>
        <v>1500</v>
      </c>
      <c r="J100" s="642">
        <f>1050*D100</f>
        <v>1050</v>
      </c>
      <c r="K100" s="642">
        <f t="shared" si="34"/>
        <v>50000</v>
      </c>
      <c r="L100" s="500"/>
      <c r="M100" s="500"/>
      <c r="N100" s="521"/>
      <c r="O100" s="12"/>
    </row>
    <row r="101" spans="1:15" x14ac:dyDescent="0.25">
      <c r="A101" s="22">
        <v>10</v>
      </c>
      <c r="B101" s="26" t="s">
        <v>1481</v>
      </c>
      <c r="C101" s="23" t="s">
        <v>28</v>
      </c>
      <c r="D101" s="23">
        <v>2</v>
      </c>
      <c r="E101" s="23">
        <v>2</v>
      </c>
      <c r="F101" s="28">
        <v>12500</v>
      </c>
      <c r="G101" s="28">
        <f t="shared" si="35"/>
        <v>50000</v>
      </c>
      <c r="H101" s="435">
        <f t="shared" si="37"/>
        <v>84.7687508476875</v>
      </c>
      <c r="I101" s="642"/>
      <c r="J101" s="642"/>
      <c r="K101" s="500"/>
      <c r="L101" s="500"/>
      <c r="M101" s="500"/>
      <c r="N101" s="521"/>
      <c r="O101" s="12"/>
    </row>
    <row r="102" spans="1:15" x14ac:dyDescent="0.25">
      <c r="A102" s="22">
        <v>12</v>
      </c>
      <c r="B102" s="26" t="s">
        <v>1633</v>
      </c>
      <c r="C102" s="23" t="s">
        <v>28</v>
      </c>
      <c r="D102" s="23">
        <v>21</v>
      </c>
      <c r="E102" s="23">
        <v>3</v>
      </c>
      <c r="F102" s="25">
        <v>0</v>
      </c>
      <c r="G102" s="25">
        <f>D102*E102*F102</f>
        <v>0</v>
      </c>
      <c r="H102" s="509">
        <f t="shared" si="37"/>
        <v>0</v>
      </c>
      <c r="I102" s="643"/>
      <c r="J102" s="652"/>
      <c r="K102" s="12"/>
      <c r="L102" s="12"/>
      <c r="M102" s="12"/>
      <c r="N102" s="524"/>
      <c r="O102" s="12"/>
    </row>
    <row r="103" spans="1:15" x14ac:dyDescent="0.25">
      <c r="A103" s="22">
        <v>13</v>
      </c>
      <c r="B103" s="26" t="s">
        <v>1602</v>
      </c>
      <c r="C103" s="23" t="s">
        <v>28</v>
      </c>
      <c r="D103" s="23">
        <v>1</v>
      </c>
      <c r="E103" s="23">
        <v>2</v>
      </c>
      <c r="F103" s="28">
        <v>0</v>
      </c>
      <c r="G103" s="28">
        <f t="shared" si="35"/>
        <v>0</v>
      </c>
      <c r="H103" s="435">
        <f t="shared" si="37"/>
        <v>0</v>
      </c>
      <c r="I103" s="644"/>
      <c r="J103" s="653"/>
      <c r="K103" s="500"/>
      <c r="L103" s="500"/>
      <c r="M103" s="500"/>
      <c r="N103" s="521"/>
      <c r="O103" s="12"/>
    </row>
    <row r="104" spans="1:15" x14ac:dyDescent="0.25">
      <c r="A104" s="22">
        <v>17</v>
      </c>
      <c r="B104" s="26" t="s">
        <v>272</v>
      </c>
      <c r="C104" s="23" t="s">
        <v>28</v>
      </c>
      <c r="D104" s="23">
        <f>SUM(D91:D103)</f>
        <v>84</v>
      </c>
      <c r="E104" s="23">
        <v>2</v>
      </c>
      <c r="F104" s="28">
        <v>15000</v>
      </c>
      <c r="G104" s="28">
        <f>D104*E104*F104</f>
        <v>2520000</v>
      </c>
      <c r="H104" s="435">
        <f t="shared" si="37"/>
        <v>4272.3450427234502</v>
      </c>
      <c r="I104" s="669"/>
      <c r="J104" s="670"/>
      <c r="K104" s="500"/>
      <c r="L104" s="500"/>
      <c r="M104" s="500"/>
      <c r="N104" s="521"/>
      <c r="O104" s="12"/>
    </row>
    <row r="105" spans="1:15" x14ac:dyDescent="0.25">
      <c r="A105" s="22"/>
      <c r="B105" s="26" t="s">
        <v>1591</v>
      </c>
      <c r="C105" s="23" t="s">
        <v>17</v>
      </c>
      <c r="D105" s="23">
        <v>120</v>
      </c>
      <c r="E105" s="23">
        <v>1</v>
      </c>
      <c r="F105" s="28">
        <v>800</v>
      </c>
      <c r="G105" s="28">
        <f>D105*E105*F105</f>
        <v>96000</v>
      </c>
      <c r="H105" s="435">
        <f t="shared" si="37"/>
        <v>162.75600162756001</v>
      </c>
      <c r="I105" s="644"/>
      <c r="J105" s="653"/>
      <c r="K105" s="500"/>
      <c r="L105" s="500"/>
      <c r="M105" s="500"/>
      <c r="N105" s="521"/>
      <c r="O105" s="12"/>
    </row>
    <row r="106" spans="1:15" x14ac:dyDescent="0.25">
      <c r="A106" s="22">
        <v>18</v>
      </c>
      <c r="B106" s="26" t="s">
        <v>1603</v>
      </c>
      <c r="C106" s="23" t="s">
        <v>28</v>
      </c>
      <c r="D106" s="23">
        <v>2</v>
      </c>
      <c r="E106" s="23">
        <v>2</v>
      </c>
      <c r="F106" s="28">
        <f>11000+1000</f>
        <v>12000</v>
      </c>
      <c r="G106" s="28">
        <f t="shared" si="35"/>
        <v>48000</v>
      </c>
      <c r="H106" s="435">
        <f t="shared" si="37"/>
        <v>81.378000813780005</v>
      </c>
      <c r="I106" s="644"/>
      <c r="J106" s="653"/>
      <c r="K106" s="500"/>
      <c r="L106" s="500"/>
      <c r="M106" s="500"/>
      <c r="N106" s="521"/>
      <c r="O106" s="12"/>
    </row>
    <row r="107" spans="1:15" x14ac:dyDescent="0.25">
      <c r="A107" s="22">
        <v>19</v>
      </c>
      <c r="B107" s="26" t="s">
        <v>1604</v>
      </c>
      <c r="C107" s="23" t="s">
        <v>28</v>
      </c>
      <c r="D107" s="23">
        <f>600+100</f>
        <v>700</v>
      </c>
      <c r="E107" s="23">
        <v>1</v>
      </c>
      <c r="F107" s="28">
        <v>800</v>
      </c>
      <c r="G107" s="28">
        <f t="shared" si="35"/>
        <v>560000</v>
      </c>
      <c r="H107" s="435">
        <f t="shared" si="37"/>
        <v>949.4100094941</v>
      </c>
      <c r="I107" s="644"/>
      <c r="J107" s="653"/>
      <c r="K107" s="500"/>
      <c r="L107" s="500"/>
      <c r="M107" s="500"/>
      <c r="N107" s="521"/>
      <c r="O107" s="12"/>
    </row>
    <row r="108" spans="1:15" x14ac:dyDescent="0.25">
      <c r="A108" s="22">
        <v>20</v>
      </c>
      <c r="B108" s="26" t="s">
        <v>1482</v>
      </c>
      <c r="C108" s="23" t="s">
        <v>28</v>
      </c>
      <c r="D108" s="23">
        <v>1</v>
      </c>
      <c r="E108" s="23">
        <v>2</v>
      </c>
      <c r="F108" s="28">
        <v>250000</v>
      </c>
      <c r="G108" s="28">
        <f t="shared" si="35"/>
        <v>500000</v>
      </c>
      <c r="H108" s="435">
        <f t="shared" si="37"/>
        <v>847.687508476875</v>
      </c>
      <c r="I108" s="671"/>
      <c r="J108" s="672"/>
      <c r="K108" s="10"/>
      <c r="L108" s="10"/>
      <c r="M108" s="5"/>
      <c r="N108" s="519"/>
      <c r="O108" s="12"/>
    </row>
    <row r="109" spans="1:15" ht="16.5" thickBot="1" x14ac:dyDescent="0.3">
      <c r="A109" s="22">
        <v>21</v>
      </c>
      <c r="B109" s="26"/>
      <c r="C109" s="23" t="s">
        <v>28</v>
      </c>
      <c r="D109" s="23"/>
      <c r="E109" s="23">
        <v>1</v>
      </c>
      <c r="F109" s="28">
        <v>0</v>
      </c>
      <c r="G109" s="28">
        <f t="shared" si="35"/>
        <v>0</v>
      </c>
      <c r="H109" s="510">
        <f t="shared" si="37"/>
        <v>0</v>
      </c>
      <c r="I109" s="643"/>
      <c r="J109" s="652"/>
      <c r="K109" s="12"/>
      <c r="L109" s="12"/>
      <c r="M109" s="12"/>
      <c r="N109" s="524"/>
      <c r="O109" s="12"/>
    </row>
    <row r="110" spans="1:15" ht="18.75" thickBot="1" x14ac:dyDescent="0.3">
      <c r="A110" s="261" t="s">
        <v>1571</v>
      </c>
      <c r="B110" s="262"/>
      <c r="C110" s="261"/>
      <c r="D110" s="261"/>
      <c r="E110" s="261"/>
      <c r="F110" s="263"/>
      <c r="G110" s="263">
        <f>SUM(G91:G109)</f>
        <v>7299000</v>
      </c>
      <c r="H110" s="506">
        <f>SUM(H91:H109)</f>
        <v>12374.542248745422</v>
      </c>
      <c r="I110" s="263">
        <f>SUM(I91:I109)</f>
        <v>105750</v>
      </c>
      <c r="J110" s="263">
        <f>SUM(J91:J109)</f>
        <v>72950</v>
      </c>
      <c r="K110" s="12"/>
      <c r="L110" s="12"/>
      <c r="M110" s="12"/>
      <c r="N110" s="524"/>
      <c r="O110" s="12"/>
    </row>
    <row r="111" spans="1:15" ht="18.75" thickBot="1" x14ac:dyDescent="0.3">
      <c r="A111" s="69"/>
      <c r="B111" s="18" t="s">
        <v>1572</v>
      </c>
      <c r="C111" s="19"/>
      <c r="D111" s="20"/>
      <c r="E111" s="19"/>
      <c r="F111" s="21"/>
      <c r="G111" s="21"/>
      <c r="H111"/>
      <c r="I111" s="644"/>
      <c r="J111" s="653"/>
      <c r="K111" s="500"/>
      <c r="L111" s="500"/>
      <c r="M111" s="500"/>
      <c r="N111" s="521"/>
      <c r="O111" s="12"/>
    </row>
    <row r="112" spans="1:15" ht="16.5" thickBot="1" x14ac:dyDescent="0.3">
      <c r="A112" s="69"/>
      <c r="B112" s="26" t="s">
        <v>1586</v>
      </c>
      <c r="C112" s="19" t="s">
        <v>1587</v>
      </c>
      <c r="D112" s="20">
        <f>578*50</f>
        <v>28900</v>
      </c>
      <c r="E112" s="19">
        <v>1</v>
      </c>
      <c r="F112" s="21">
        <v>50</v>
      </c>
      <c r="G112" s="385">
        <f>D112*E112*F112</f>
        <v>1445000</v>
      </c>
      <c r="H112" s="508">
        <f t="shared" ref="H112:H126" si="38">G112/589.84</f>
        <v>2449.8168994981688</v>
      </c>
      <c r="I112" s="644"/>
      <c r="J112" s="653"/>
      <c r="K112" s="500"/>
      <c r="L112" s="500"/>
      <c r="M112" s="500"/>
      <c r="N112" s="521"/>
      <c r="O112" s="12"/>
    </row>
    <row r="113" spans="1:15" x14ac:dyDescent="0.25">
      <c r="A113" s="22">
        <v>1</v>
      </c>
      <c r="B113" s="26" t="s">
        <v>1435</v>
      </c>
      <c r="C113" s="19" t="s">
        <v>7</v>
      </c>
      <c r="D113" s="19">
        <f>578*4*10</f>
        <v>23120</v>
      </c>
      <c r="E113" s="19">
        <v>1</v>
      </c>
      <c r="F113" s="25">
        <v>50</v>
      </c>
      <c r="G113" s="385">
        <f>D113*E113*F113</f>
        <v>1156000</v>
      </c>
      <c r="H113" s="508">
        <f t="shared" si="38"/>
        <v>1959.8535195985351</v>
      </c>
      <c r="I113" s="644"/>
      <c r="J113" s="653"/>
      <c r="K113" s="500"/>
      <c r="L113" s="500"/>
      <c r="M113" s="500"/>
      <c r="N113" s="521"/>
      <c r="O113" s="12"/>
    </row>
    <row r="114" spans="1:15" x14ac:dyDescent="0.25">
      <c r="A114" s="22">
        <v>2</v>
      </c>
      <c r="B114" s="26" t="s">
        <v>1436</v>
      </c>
      <c r="C114" s="19" t="s">
        <v>7</v>
      </c>
      <c r="D114" s="23">
        <f>117*2*10</f>
        <v>2340</v>
      </c>
      <c r="E114" s="23">
        <v>1</v>
      </c>
      <c r="F114" s="25">
        <v>50</v>
      </c>
      <c r="G114" s="346">
        <f>D114*E114*F114</f>
        <v>117000</v>
      </c>
      <c r="H114" s="509">
        <f t="shared" si="38"/>
        <v>198.35887698358877</v>
      </c>
      <c r="I114" s="644"/>
      <c r="J114" s="653"/>
      <c r="K114" s="500"/>
      <c r="L114" s="500"/>
      <c r="M114" s="500"/>
      <c r="N114" s="521"/>
      <c r="O114" s="12"/>
    </row>
    <row r="115" spans="1:15" x14ac:dyDescent="0.25">
      <c r="A115" s="22">
        <v>3</v>
      </c>
      <c r="B115" s="26" t="s">
        <v>1437</v>
      </c>
      <c r="C115" s="19" t="s">
        <v>7</v>
      </c>
      <c r="D115" s="23">
        <f>11*2*10</f>
        <v>220</v>
      </c>
      <c r="E115" s="23">
        <v>1</v>
      </c>
      <c r="F115" s="25">
        <v>50</v>
      </c>
      <c r="G115" s="346">
        <f t="shared" ref="G115:G126" si="39">D115*E115*F115</f>
        <v>11000</v>
      </c>
      <c r="H115" s="509">
        <f t="shared" si="38"/>
        <v>18.649125186491251</v>
      </c>
      <c r="I115" s="644"/>
      <c r="J115" s="653"/>
      <c r="K115" s="500"/>
      <c r="L115" s="500"/>
      <c r="M115" s="500"/>
      <c r="N115" s="521"/>
      <c r="O115" s="12"/>
    </row>
    <row r="116" spans="1:15" x14ac:dyDescent="0.25">
      <c r="A116" s="22">
        <v>4</v>
      </c>
      <c r="B116" s="26" t="s">
        <v>1584</v>
      </c>
      <c r="C116" s="19" t="s">
        <v>7</v>
      </c>
      <c r="D116" s="23">
        <f>25*117</f>
        <v>2925</v>
      </c>
      <c r="E116" s="23">
        <v>1</v>
      </c>
      <c r="F116" s="25">
        <v>50</v>
      </c>
      <c r="G116" s="346">
        <f t="shared" si="39"/>
        <v>146250</v>
      </c>
      <c r="H116" s="509">
        <f t="shared" si="38"/>
        <v>247.94859622948596</v>
      </c>
      <c r="I116" s="644"/>
      <c r="J116" s="653"/>
      <c r="K116" s="500"/>
      <c r="L116" s="500"/>
      <c r="M116" s="500"/>
      <c r="N116" s="521"/>
      <c r="O116" s="12"/>
    </row>
    <row r="117" spans="1:15" x14ac:dyDescent="0.25">
      <c r="A117" s="22"/>
      <c r="B117" s="26" t="s">
        <v>1585</v>
      </c>
      <c r="C117" s="19" t="s">
        <v>7</v>
      </c>
      <c r="D117" s="23">
        <f>5*117</f>
        <v>585</v>
      </c>
      <c r="E117" s="23">
        <v>1</v>
      </c>
      <c r="F117" s="25">
        <f>50*6</f>
        <v>300</v>
      </c>
      <c r="G117" s="346">
        <f t="shared" si="39"/>
        <v>175500</v>
      </c>
      <c r="H117" s="509">
        <f t="shared" si="38"/>
        <v>297.53831547538311</v>
      </c>
      <c r="I117" s="644"/>
      <c r="J117" s="653"/>
      <c r="K117" s="500"/>
      <c r="L117" s="500"/>
      <c r="M117" s="500"/>
      <c r="N117" s="521"/>
      <c r="O117" s="12"/>
    </row>
    <row r="118" spans="1:15" x14ac:dyDescent="0.25">
      <c r="A118" s="22">
        <v>5</v>
      </c>
      <c r="B118" s="26" t="s">
        <v>1438</v>
      </c>
      <c r="C118" s="19" t="s">
        <v>7</v>
      </c>
      <c r="D118" s="634">
        <f>896746+89675</f>
        <v>986421</v>
      </c>
      <c r="E118" s="23">
        <v>1</v>
      </c>
      <c r="F118" s="25">
        <v>100</v>
      </c>
      <c r="G118" s="346">
        <f t="shared" si="39"/>
        <v>98642100</v>
      </c>
      <c r="H118" s="509">
        <f t="shared" si="38"/>
        <v>167235.35195985352</v>
      </c>
      <c r="I118" s="644"/>
      <c r="J118" s="653"/>
      <c r="K118" s="500"/>
      <c r="L118" s="500"/>
      <c r="M118" s="500"/>
      <c r="N118" s="521"/>
      <c r="O118" s="12"/>
    </row>
    <row r="119" spans="1:15" x14ac:dyDescent="0.25">
      <c r="A119" s="22">
        <v>6</v>
      </c>
      <c r="B119" s="26" t="s">
        <v>1439</v>
      </c>
      <c r="C119" s="19" t="s">
        <v>7</v>
      </c>
      <c r="D119" s="23">
        <v>400</v>
      </c>
      <c r="E119" s="23">
        <v>1</v>
      </c>
      <c r="F119" s="25">
        <v>0</v>
      </c>
      <c r="G119" s="346">
        <f t="shared" si="39"/>
        <v>0</v>
      </c>
      <c r="H119" s="509">
        <f t="shared" si="38"/>
        <v>0</v>
      </c>
      <c r="I119" s="644"/>
      <c r="J119" s="653"/>
      <c r="K119" s="500"/>
      <c r="L119" s="500"/>
      <c r="M119" s="500"/>
      <c r="N119" s="521"/>
      <c r="O119" s="12"/>
    </row>
    <row r="120" spans="1:15" x14ac:dyDescent="0.25">
      <c r="A120" s="22">
        <v>7</v>
      </c>
      <c r="B120" s="26" t="s">
        <v>290</v>
      </c>
      <c r="C120" s="19" t="s">
        <v>7</v>
      </c>
      <c r="D120" s="23">
        <v>1</v>
      </c>
      <c r="E120" s="23">
        <v>1</v>
      </c>
      <c r="F120" s="25">
        <v>65000</v>
      </c>
      <c r="G120" s="346">
        <f t="shared" si="39"/>
        <v>65000</v>
      </c>
      <c r="H120" s="509">
        <f t="shared" si="38"/>
        <v>110.19937610199375</v>
      </c>
      <c r="I120" s="644"/>
      <c r="J120" s="653"/>
      <c r="K120" s="500"/>
      <c r="L120" s="500"/>
      <c r="M120" s="500"/>
      <c r="N120" s="521"/>
      <c r="O120" s="12"/>
    </row>
    <row r="121" spans="1:15" x14ac:dyDescent="0.25">
      <c r="A121" s="22">
        <v>8</v>
      </c>
      <c r="B121" s="26" t="s">
        <v>291</v>
      </c>
      <c r="C121" s="19" t="s">
        <v>7</v>
      </c>
      <c r="D121" s="23">
        <v>1</v>
      </c>
      <c r="E121" s="23">
        <v>1</v>
      </c>
      <c r="F121" s="25">
        <v>5000</v>
      </c>
      <c r="G121" s="346">
        <f t="shared" si="39"/>
        <v>5000</v>
      </c>
      <c r="H121" s="509">
        <f t="shared" si="38"/>
        <v>8.47687508476875</v>
      </c>
      <c r="I121" s="644"/>
      <c r="J121" s="653"/>
      <c r="K121" s="500"/>
      <c r="L121" s="500"/>
      <c r="M121" s="500"/>
      <c r="N121" s="521"/>
      <c r="O121" s="12"/>
    </row>
    <row r="122" spans="1:15" x14ac:dyDescent="0.25">
      <c r="A122" s="22">
        <v>9</v>
      </c>
      <c r="B122" s="26" t="s">
        <v>292</v>
      </c>
      <c r="C122" s="19" t="s">
        <v>7</v>
      </c>
      <c r="D122" s="23">
        <v>10</v>
      </c>
      <c r="E122" s="23">
        <v>1</v>
      </c>
      <c r="F122" s="25">
        <v>1000</v>
      </c>
      <c r="G122" s="346">
        <f t="shared" si="39"/>
        <v>10000</v>
      </c>
      <c r="H122" s="509">
        <f t="shared" si="38"/>
        <v>16.9537501695375</v>
      </c>
      <c r="I122" s="644"/>
      <c r="J122" s="653"/>
      <c r="K122" s="500"/>
      <c r="L122" s="500"/>
      <c r="M122" s="500"/>
      <c r="N122" s="521"/>
      <c r="O122" s="12"/>
    </row>
    <row r="123" spans="1:15" x14ac:dyDescent="0.25">
      <c r="A123" s="22">
        <v>10</v>
      </c>
      <c r="B123" s="26" t="s">
        <v>1605</v>
      </c>
      <c r="C123" s="19" t="s">
        <v>7</v>
      </c>
      <c r="D123" s="23">
        <v>1</v>
      </c>
      <c r="E123" s="23">
        <v>8</v>
      </c>
      <c r="F123" s="25">
        <v>100000</v>
      </c>
      <c r="G123" s="346">
        <f t="shared" si="39"/>
        <v>800000</v>
      </c>
      <c r="H123" s="509">
        <f t="shared" si="38"/>
        <v>1356.300013563</v>
      </c>
      <c r="I123" s="644"/>
      <c r="J123" s="653"/>
      <c r="K123" s="500"/>
      <c r="L123" s="500"/>
      <c r="M123" s="500"/>
      <c r="N123" s="521"/>
      <c r="O123" s="12"/>
    </row>
    <row r="124" spans="1:15" x14ac:dyDescent="0.25">
      <c r="A124" s="22">
        <v>11</v>
      </c>
      <c r="B124" s="26" t="s">
        <v>1606</v>
      </c>
      <c r="C124" s="19" t="s">
        <v>7</v>
      </c>
      <c r="D124" s="23">
        <v>1</v>
      </c>
      <c r="E124" s="23">
        <v>1</v>
      </c>
      <c r="F124" s="25">
        <v>80000</v>
      </c>
      <c r="G124" s="346">
        <f t="shared" si="39"/>
        <v>80000</v>
      </c>
      <c r="H124" s="509">
        <f t="shared" si="38"/>
        <v>135.6300013563</v>
      </c>
      <c r="I124" s="644"/>
      <c r="J124" s="653"/>
      <c r="K124" s="500"/>
      <c r="L124" s="500"/>
      <c r="M124" s="500"/>
      <c r="N124" s="521"/>
      <c r="O124" s="12"/>
    </row>
    <row r="125" spans="1:15" x14ac:dyDescent="0.25">
      <c r="A125" s="22">
        <v>12</v>
      </c>
      <c r="B125" s="26" t="s">
        <v>1634</v>
      </c>
      <c r="C125" s="19" t="s">
        <v>7</v>
      </c>
      <c r="D125" s="23">
        <v>4</v>
      </c>
      <c r="E125" s="23">
        <v>1</v>
      </c>
      <c r="F125" s="25">
        <v>18000</v>
      </c>
      <c r="G125" s="346">
        <f t="shared" si="39"/>
        <v>72000</v>
      </c>
      <c r="H125" s="509">
        <f t="shared" si="38"/>
        <v>122.06700122067001</v>
      </c>
      <c r="I125" s="644"/>
      <c r="J125" s="653"/>
      <c r="K125" s="500"/>
      <c r="L125" s="500"/>
      <c r="M125" s="500"/>
      <c r="N125" s="521"/>
      <c r="O125" s="12"/>
    </row>
    <row r="126" spans="1:15" ht="16.5" thickBot="1" x14ac:dyDescent="0.3">
      <c r="A126" s="22">
        <v>13</v>
      </c>
      <c r="B126" s="26" t="s">
        <v>1607</v>
      </c>
      <c r="C126" s="19" t="s">
        <v>7</v>
      </c>
      <c r="D126" s="23">
        <v>5</v>
      </c>
      <c r="E126" s="23">
        <v>1</v>
      </c>
      <c r="F126" s="25">
        <v>10000</v>
      </c>
      <c r="G126" s="346">
        <f t="shared" si="39"/>
        <v>50000</v>
      </c>
      <c r="H126" s="509">
        <f t="shared" si="38"/>
        <v>84.7687508476875</v>
      </c>
      <c r="I126" s="644"/>
      <c r="J126" s="653"/>
      <c r="K126" s="500"/>
      <c r="L126" s="500"/>
      <c r="M126" s="500"/>
      <c r="N126" s="521"/>
      <c r="O126" s="12"/>
    </row>
    <row r="127" spans="1:15" ht="18.75" thickBot="1" x14ac:dyDescent="0.3">
      <c r="A127" s="261"/>
      <c r="B127" s="262"/>
      <c r="C127" s="261"/>
      <c r="D127" s="261"/>
      <c r="E127" s="261"/>
      <c r="F127" s="263"/>
      <c r="G127" s="263">
        <f>SUM(G112:G126)</f>
        <v>102774850</v>
      </c>
      <c r="H127" s="506">
        <f>SUM(H112:H126)</f>
        <v>174241.91306116918</v>
      </c>
      <c r="I127" s="644"/>
      <c r="J127" s="653"/>
      <c r="K127" s="500"/>
      <c r="L127" s="500"/>
      <c r="M127" s="500"/>
      <c r="N127" s="521"/>
      <c r="O127" s="12"/>
    </row>
    <row r="128" spans="1:15" ht="18.75" thickBot="1" x14ac:dyDescent="0.3">
      <c r="A128" s="17"/>
      <c r="B128" s="18" t="s">
        <v>1323</v>
      </c>
      <c r="C128" s="19"/>
      <c r="D128" s="20"/>
      <c r="E128" s="19"/>
      <c r="F128" s="21"/>
      <c r="G128" s="21"/>
      <c r="H128"/>
      <c r="I128" s="643"/>
      <c r="J128" s="652"/>
      <c r="K128" s="12"/>
      <c r="L128" s="12"/>
      <c r="M128" s="12"/>
      <c r="N128" s="524"/>
      <c r="O128" s="12"/>
    </row>
    <row r="129" spans="1:15" ht="16.5" thickBot="1" x14ac:dyDescent="0.3">
      <c r="A129" s="22">
        <v>1</v>
      </c>
      <c r="B129" s="26" t="s">
        <v>1494</v>
      </c>
      <c r="C129" s="19" t="s">
        <v>1573</v>
      </c>
      <c r="D129" s="20">
        <v>750</v>
      </c>
      <c r="E129" s="19">
        <v>1</v>
      </c>
      <c r="F129" s="21">
        <v>20000</v>
      </c>
      <c r="G129" s="25">
        <f t="shared" ref="G129:G135" si="40">D129*E129*F129</f>
        <v>15000000</v>
      </c>
      <c r="H129" s="513">
        <f t="shared" ref="H129:H135" si="41">G129/589.84</f>
        <v>25430.625254306251</v>
      </c>
      <c r="I129" s="643"/>
      <c r="J129" s="652"/>
      <c r="K129" s="12"/>
      <c r="L129" s="12"/>
      <c r="M129" s="12"/>
      <c r="N129" s="524"/>
      <c r="O129" s="12"/>
    </row>
    <row r="130" spans="1:15" ht="16.5" thickBot="1" x14ac:dyDescent="0.3">
      <c r="A130" s="22">
        <v>2</v>
      </c>
      <c r="B130" s="26" t="s">
        <v>1495</v>
      </c>
      <c r="C130" s="23" t="s">
        <v>1574</v>
      </c>
      <c r="D130" s="470">
        <v>4500</v>
      </c>
      <c r="E130" s="430">
        <v>1</v>
      </c>
      <c r="F130" s="25">
        <v>250</v>
      </c>
      <c r="G130" s="25">
        <f t="shared" si="40"/>
        <v>1125000</v>
      </c>
      <c r="H130" s="513">
        <f t="shared" si="41"/>
        <v>1907.2968940729688</v>
      </c>
      <c r="I130" s="643"/>
      <c r="J130" s="652"/>
      <c r="K130" s="12"/>
      <c r="L130" s="12"/>
      <c r="M130" s="12"/>
      <c r="N130" s="524"/>
      <c r="O130" s="12"/>
    </row>
    <row r="131" spans="1:15" ht="16.5" thickBot="1" x14ac:dyDescent="0.3">
      <c r="A131" s="22">
        <v>3</v>
      </c>
      <c r="B131" s="26" t="s">
        <v>1496</v>
      </c>
      <c r="C131" s="23" t="s">
        <v>1499</v>
      </c>
      <c r="D131" s="470">
        <v>2</v>
      </c>
      <c r="E131" s="430">
        <v>20</v>
      </c>
      <c r="F131" s="25">
        <v>50000</v>
      </c>
      <c r="G131" s="25">
        <f t="shared" si="40"/>
        <v>2000000</v>
      </c>
      <c r="H131" s="513">
        <f t="shared" si="41"/>
        <v>3390.7500339075</v>
      </c>
      <c r="I131" s="643"/>
      <c r="J131" s="652"/>
      <c r="K131" s="12"/>
      <c r="L131" s="12"/>
      <c r="M131" s="12"/>
      <c r="N131" s="524"/>
      <c r="O131" s="12"/>
    </row>
    <row r="132" spans="1:15" ht="16.5" thickBot="1" x14ac:dyDescent="0.3">
      <c r="A132" s="22">
        <v>4</v>
      </c>
      <c r="B132" s="26" t="s">
        <v>1498</v>
      </c>
      <c r="C132" s="23" t="s">
        <v>1500</v>
      </c>
      <c r="D132" s="470">
        <v>3</v>
      </c>
      <c r="E132" s="430">
        <v>20</v>
      </c>
      <c r="F132" s="25">
        <v>4500</v>
      </c>
      <c r="G132" s="25">
        <f t="shared" si="40"/>
        <v>270000</v>
      </c>
      <c r="H132" s="513">
        <f t="shared" si="41"/>
        <v>457.7512545775125</v>
      </c>
      <c r="I132" s="643"/>
      <c r="J132" s="652"/>
      <c r="K132" s="12"/>
      <c r="L132" s="12"/>
      <c r="M132" s="12"/>
      <c r="N132" s="524"/>
      <c r="O132" s="12"/>
    </row>
    <row r="133" spans="1:15" x14ac:dyDescent="0.25">
      <c r="A133" s="22">
        <v>5</v>
      </c>
      <c r="B133" s="26" t="s">
        <v>1497</v>
      </c>
      <c r="C133" s="23" t="s">
        <v>1500</v>
      </c>
      <c r="D133" s="470">
        <v>3</v>
      </c>
      <c r="E133" s="430">
        <v>20</v>
      </c>
      <c r="F133" s="25">
        <v>3500</v>
      </c>
      <c r="G133" s="25">
        <f t="shared" si="40"/>
        <v>210000</v>
      </c>
      <c r="H133" s="513">
        <f t="shared" si="41"/>
        <v>356.0287535602875</v>
      </c>
      <c r="I133" s="643"/>
      <c r="J133" s="652"/>
      <c r="K133" s="12"/>
      <c r="L133" s="12"/>
      <c r="M133" s="12"/>
      <c r="N133" s="524"/>
      <c r="O133" s="12"/>
    </row>
    <row r="134" spans="1:15" ht="28.5" x14ac:dyDescent="0.25">
      <c r="A134" s="22">
        <v>6</v>
      </c>
      <c r="B134" s="26" t="s">
        <v>1608</v>
      </c>
      <c r="C134" s="23" t="s">
        <v>1499</v>
      </c>
      <c r="D134" s="470">
        <v>2</v>
      </c>
      <c r="E134" s="23">
        <v>8</v>
      </c>
      <c r="F134" s="25">
        <v>75000</v>
      </c>
      <c r="G134" s="25">
        <f t="shared" si="40"/>
        <v>1200000</v>
      </c>
      <c r="H134" s="514">
        <f t="shared" si="41"/>
        <v>2034.4500203445</v>
      </c>
      <c r="I134" s="643"/>
      <c r="J134" s="652"/>
      <c r="K134" s="12"/>
      <c r="L134" s="12"/>
      <c r="M134" s="12"/>
      <c r="N134" s="524"/>
      <c r="O134" s="12"/>
    </row>
    <row r="135" spans="1:15" ht="28.5" x14ac:dyDescent="0.25">
      <c r="A135" s="22">
        <v>7</v>
      </c>
      <c r="B135" s="26" t="s">
        <v>1609</v>
      </c>
      <c r="C135" s="23" t="s">
        <v>1500</v>
      </c>
      <c r="D135" s="470">
        <v>1</v>
      </c>
      <c r="E135" s="23">
        <v>1</v>
      </c>
      <c r="F135" s="25">
        <v>2500000</v>
      </c>
      <c r="G135" s="25">
        <f t="shared" si="40"/>
        <v>2500000</v>
      </c>
      <c r="H135" s="514">
        <f t="shared" si="41"/>
        <v>4238.4375423843749</v>
      </c>
      <c r="I135" s="643"/>
      <c r="J135" s="652"/>
      <c r="K135" s="12"/>
      <c r="L135" s="12"/>
      <c r="M135" s="12"/>
      <c r="N135" s="524"/>
      <c r="O135" s="12"/>
    </row>
    <row r="136" spans="1:15" x14ac:dyDescent="0.25">
      <c r="A136" s="22">
        <v>8</v>
      </c>
      <c r="B136" s="27" t="s">
        <v>1610</v>
      </c>
      <c r="C136" s="23" t="s">
        <v>1500</v>
      </c>
      <c r="D136" s="470">
        <v>46</v>
      </c>
      <c r="E136" s="23">
        <v>15</v>
      </c>
      <c r="F136" s="25">
        <v>2500</v>
      </c>
      <c r="G136" s="25">
        <f t="shared" ref="G136:G141" si="42">D136*E136*F136</f>
        <v>1725000</v>
      </c>
      <c r="H136" s="514">
        <f>G136/589.84</f>
        <v>2924.521904245219</v>
      </c>
      <c r="I136" s="643"/>
      <c r="J136" s="652"/>
      <c r="K136" s="12"/>
      <c r="L136" s="12"/>
      <c r="M136" s="12"/>
      <c r="N136" s="524"/>
      <c r="O136" s="12"/>
    </row>
    <row r="137" spans="1:15" x14ac:dyDescent="0.25">
      <c r="A137" s="22">
        <v>9</v>
      </c>
      <c r="B137" s="27" t="s">
        <v>1611</v>
      </c>
      <c r="C137" s="23" t="s">
        <v>1500</v>
      </c>
      <c r="D137" s="470">
        <v>8</v>
      </c>
      <c r="E137" s="23">
        <v>15</v>
      </c>
      <c r="F137" s="25">
        <v>4500</v>
      </c>
      <c r="G137" s="25">
        <f t="shared" si="42"/>
        <v>540000</v>
      </c>
      <c r="H137" s="514">
        <f>G137/589.84</f>
        <v>915.502509155025</v>
      </c>
      <c r="I137" s="643"/>
      <c r="J137" s="652"/>
      <c r="K137" s="12"/>
      <c r="L137" s="12"/>
      <c r="M137" s="12"/>
      <c r="N137" s="524"/>
      <c r="O137" s="12"/>
    </row>
    <row r="138" spans="1:15" ht="28.5" x14ac:dyDescent="0.25">
      <c r="A138" s="22">
        <v>10</v>
      </c>
      <c r="B138" s="354" t="s">
        <v>1576</v>
      </c>
      <c r="C138" s="469" t="s">
        <v>1575</v>
      </c>
      <c r="D138" s="725">
        <v>4</v>
      </c>
      <c r="E138" s="469">
        <v>13</v>
      </c>
      <c r="F138" s="472">
        <v>50000</v>
      </c>
      <c r="G138" s="472">
        <f t="shared" si="42"/>
        <v>2600000</v>
      </c>
      <c r="H138" s="512">
        <f>G138/589.84</f>
        <v>4407.9750440797498</v>
      </c>
      <c r="I138" s="643"/>
      <c r="J138" s="652"/>
      <c r="K138" s="12"/>
      <c r="L138" s="12"/>
      <c r="M138" s="12"/>
      <c r="N138" s="524"/>
      <c r="O138" s="12"/>
    </row>
    <row r="139" spans="1:15" ht="28.5" x14ac:dyDescent="0.25">
      <c r="A139" s="387">
        <v>11</v>
      </c>
      <c r="B139" s="467" t="s">
        <v>1612</v>
      </c>
      <c r="C139" s="23" t="s">
        <v>7</v>
      </c>
      <c r="D139" s="470">
        <v>600</v>
      </c>
      <c r="E139" s="388">
        <v>1</v>
      </c>
      <c r="F139" s="471">
        <v>39000</v>
      </c>
      <c r="G139" s="424">
        <f t="shared" si="42"/>
        <v>23400000</v>
      </c>
      <c r="H139" s="512">
        <f>G139/589.84</f>
        <v>39671.775396717749</v>
      </c>
      <c r="I139" s="643"/>
      <c r="J139" s="652"/>
      <c r="K139" s="12"/>
      <c r="L139" s="12"/>
      <c r="M139" s="12"/>
      <c r="N139" s="524"/>
      <c r="O139" s="12"/>
    </row>
    <row r="140" spans="1:15" x14ac:dyDescent="0.25">
      <c r="A140" s="387"/>
      <c r="B140" s="467" t="s">
        <v>1578</v>
      </c>
      <c r="C140" s="388" t="s">
        <v>1577</v>
      </c>
      <c r="D140" s="496">
        <f>10*117</f>
        <v>1170</v>
      </c>
      <c r="E140" s="388">
        <v>1</v>
      </c>
      <c r="F140" s="471">
        <v>3000</v>
      </c>
      <c r="G140" s="424">
        <f t="shared" si="42"/>
        <v>3510000</v>
      </c>
      <c r="H140" s="512">
        <f t="shared" ref="H140:H141" si="43">G140/589.84</f>
        <v>5950.7663095076632</v>
      </c>
      <c r="I140" s="643"/>
      <c r="J140" s="652"/>
      <c r="K140" s="12"/>
      <c r="L140" s="12"/>
      <c r="M140" s="12"/>
      <c r="N140" s="524"/>
      <c r="O140" s="12"/>
    </row>
    <row r="141" spans="1:15" x14ac:dyDescent="0.25">
      <c r="A141" s="387"/>
      <c r="B141" s="467" t="s">
        <v>1579</v>
      </c>
      <c r="C141" s="388" t="s">
        <v>1588</v>
      </c>
      <c r="D141" s="635">
        <f>5166-3531</f>
        <v>1635</v>
      </c>
      <c r="E141" s="388">
        <v>1</v>
      </c>
      <c r="F141" s="471">
        <v>1000</v>
      </c>
      <c r="G141" s="424">
        <f t="shared" si="42"/>
        <v>1635000</v>
      </c>
      <c r="H141" s="512">
        <f t="shared" si="43"/>
        <v>2771.9381527193814</v>
      </c>
      <c r="I141" s="643"/>
      <c r="J141" s="652"/>
      <c r="K141" s="12"/>
      <c r="L141" s="12"/>
      <c r="M141" s="12"/>
      <c r="N141" s="524"/>
      <c r="O141" s="12"/>
    </row>
    <row r="142" spans="1:15" x14ac:dyDescent="0.25">
      <c r="A142" s="387">
        <v>12</v>
      </c>
      <c r="B142" s="22" t="s">
        <v>1635</v>
      </c>
      <c r="C142" s="388" t="s">
        <v>1525</v>
      </c>
      <c r="D142" s="496">
        <f>15+22</f>
        <v>37</v>
      </c>
      <c r="E142" s="388">
        <v>1</v>
      </c>
      <c r="F142" s="25">
        <v>10000</v>
      </c>
      <c r="G142" s="25">
        <f t="shared" ref="G142:G146" si="44">D142*E142*F142</f>
        <v>370000</v>
      </c>
      <c r="H142" s="509">
        <f t="shared" ref="H142:H146" si="45">G142/589.84</f>
        <v>627.28875627288755</v>
      </c>
      <c r="I142" s="643"/>
      <c r="J142" s="652"/>
      <c r="K142" s="12"/>
      <c r="L142" s="12"/>
      <c r="M142" s="12"/>
      <c r="N142" s="524"/>
      <c r="O142" s="12"/>
    </row>
    <row r="143" spans="1:15" x14ac:dyDescent="0.25">
      <c r="A143" s="387">
        <v>13</v>
      </c>
      <c r="B143" s="22" t="s">
        <v>1528</v>
      </c>
      <c r="C143" s="388" t="s">
        <v>1525</v>
      </c>
      <c r="D143" s="496">
        <v>3</v>
      </c>
      <c r="E143" s="388">
        <v>1</v>
      </c>
      <c r="F143" s="25">
        <v>10000</v>
      </c>
      <c r="G143" s="25">
        <f t="shared" si="44"/>
        <v>30000</v>
      </c>
      <c r="H143" s="509">
        <f t="shared" si="45"/>
        <v>50.8612505086125</v>
      </c>
      <c r="I143" s="643"/>
      <c r="J143" s="652"/>
      <c r="K143" s="12"/>
      <c r="L143" s="12"/>
      <c r="M143" s="12"/>
      <c r="N143" s="524"/>
      <c r="O143" s="12"/>
    </row>
    <row r="144" spans="1:15" x14ac:dyDescent="0.25">
      <c r="A144" s="387">
        <v>14</v>
      </c>
      <c r="B144" s="22" t="s">
        <v>1526</v>
      </c>
      <c r="C144" s="388" t="s">
        <v>1525</v>
      </c>
      <c r="D144" s="496">
        <f>22+38+11+11+11</f>
        <v>93</v>
      </c>
      <c r="E144" s="388">
        <v>1</v>
      </c>
      <c r="F144" s="25">
        <v>5000</v>
      </c>
      <c r="G144" s="25">
        <f t="shared" si="44"/>
        <v>465000</v>
      </c>
      <c r="H144" s="509">
        <f t="shared" si="45"/>
        <v>788.34938288349383</v>
      </c>
      <c r="I144" s="643"/>
      <c r="J144" s="652"/>
      <c r="K144" s="12"/>
      <c r="L144" s="12"/>
      <c r="M144" s="12"/>
      <c r="N144" s="524"/>
      <c r="O144" s="12"/>
    </row>
    <row r="145" spans="1:15" x14ac:dyDescent="0.25">
      <c r="A145" s="387">
        <v>15</v>
      </c>
      <c r="B145" s="22" t="s">
        <v>1529</v>
      </c>
      <c r="C145" s="388" t="s">
        <v>1525</v>
      </c>
      <c r="D145" s="496">
        <v>22</v>
      </c>
      <c r="E145" s="388">
        <v>1</v>
      </c>
      <c r="F145" s="25">
        <v>10000</v>
      </c>
      <c r="G145" s="25">
        <f>D145*E145*F145</f>
        <v>220000</v>
      </c>
      <c r="H145" s="509">
        <f t="shared" si="45"/>
        <v>372.982503729825</v>
      </c>
      <c r="I145" s="643"/>
      <c r="J145" s="652"/>
      <c r="K145" s="12"/>
      <c r="L145" s="12"/>
      <c r="M145" s="12"/>
      <c r="N145" s="524"/>
      <c r="O145" s="12"/>
    </row>
    <row r="146" spans="1:15" x14ac:dyDescent="0.25">
      <c r="A146" s="387">
        <v>16</v>
      </c>
      <c r="B146" s="387" t="s">
        <v>1527</v>
      </c>
      <c r="C146" s="388" t="s">
        <v>1525</v>
      </c>
      <c r="D146" s="496">
        <f>164+117+117</f>
        <v>398</v>
      </c>
      <c r="E146" s="388">
        <v>1</v>
      </c>
      <c r="F146" s="25">
        <v>3000</v>
      </c>
      <c r="G146" s="25">
        <f t="shared" si="44"/>
        <v>1194000</v>
      </c>
      <c r="H146" s="509">
        <f t="shared" si="45"/>
        <v>2024.2777702427777</v>
      </c>
      <c r="I146" s="643"/>
      <c r="J146" s="652"/>
      <c r="K146" s="12"/>
      <c r="L146" s="12"/>
      <c r="M146" s="12"/>
      <c r="N146" s="524"/>
      <c r="O146" s="12"/>
    </row>
    <row r="147" spans="1:15" ht="18" x14ac:dyDescent="0.25">
      <c r="A147" s="387"/>
      <c r="B147" s="473" t="s">
        <v>1399</v>
      </c>
      <c r="C147" s="23"/>
      <c r="D147" s="470"/>
      <c r="E147" s="23"/>
      <c r="F147" s="25"/>
      <c r="G147" s="474">
        <f>SUM(G129:G146)</f>
        <v>57994000</v>
      </c>
      <c r="H147" s="515">
        <f>SUM(H142:H146)</f>
        <v>3863.7596636375965</v>
      </c>
      <c r="I147" s="643"/>
      <c r="J147" s="652"/>
      <c r="K147" s="12"/>
      <c r="L147" s="12"/>
      <c r="M147" s="12"/>
      <c r="N147" s="524"/>
      <c r="O147" s="12"/>
    </row>
    <row r="148" spans="1:15" ht="18" x14ac:dyDescent="0.25">
      <c r="A148" s="614"/>
      <c r="B148" s="615" t="s">
        <v>1483</v>
      </c>
      <c r="C148" s="616"/>
      <c r="D148" s="616"/>
      <c r="E148" s="616"/>
      <c r="F148" s="617"/>
      <c r="G148" s="616"/>
      <c r="H148" s="618"/>
      <c r="I148" s="643"/>
      <c r="J148" s="652"/>
      <c r="K148" s="12"/>
      <c r="L148" s="12"/>
      <c r="M148" s="12"/>
      <c r="N148" s="524"/>
      <c r="O148" s="12"/>
    </row>
    <row r="149" spans="1:15" x14ac:dyDescent="0.25">
      <c r="A149" s="387">
        <v>1</v>
      </c>
      <c r="B149" s="354" t="s">
        <v>1484</v>
      </c>
      <c r="C149" s="388" t="s">
        <v>1486</v>
      </c>
      <c r="D149" s="470">
        <v>1</v>
      </c>
      <c r="E149" s="23">
        <v>1</v>
      </c>
      <c r="F149" s="407">
        <v>500000</v>
      </c>
      <c r="G149" s="472">
        <f t="shared" ref="G149:G156" si="46">D149*E149*F149</f>
        <v>500000</v>
      </c>
      <c r="H149" s="512">
        <f t="shared" ref="H149:H156" si="47">G149/589.84</f>
        <v>847.687508476875</v>
      </c>
      <c r="I149" s="643"/>
      <c r="J149" s="652"/>
      <c r="K149" s="12"/>
      <c r="L149" s="12"/>
      <c r="M149" s="12"/>
      <c r="N149" s="524"/>
      <c r="O149" s="12"/>
    </row>
    <row r="150" spans="1:15" ht="28.5" x14ac:dyDescent="0.25">
      <c r="A150" s="387">
        <v>2</v>
      </c>
      <c r="B150" s="354" t="s">
        <v>1590</v>
      </c>
      <c r="C150" s="388" t="s">
        <v>1485</v>
      </c>
      <c r="D150" s="470">
        <v>1</v>
      </c>
      <c r="E150" s="23">
        <v>1</v>
      </c>
      <c r="F150" s="468">
        <v>3000000</v>
      </c>
      <c r="G150" s="25">
        <f t="shared" si="46"/>
        <v>3000000</v>
      </c>
      <c r="H150" s="512">
        <f t="shared" si="47"/>
        <v>5086.1250508612502</v>
      </c>
      <c r="I150" s="643"/>
      <c r="J150" s="652"/>
      <c r="K150" s="12"/>
      <c r="L150" s="12"/>
      <c r="M150" s="12"/>
      <c r="N150" s="524"/>
      <c r="O150" s="12"/>
    </row>
    <row r="151" spans="1:15" x14ac:dyDescent="0.25">
      <c r="A151" s="387">
        <v>3</v>
      </c>
      <c r="B151" s="354" t="s">
        <v>1487</v>
      </c>
      <c r="C151" s="388" t="s">
        <v>1488</v>
      </c>
      <c r="D151" s="470">
        <v>2</v>
      </c>
      <c r="E151" s="23"/>
      <c r="F151" s="468">
        <v>25000</v>
      </c>
      <c r="G151" s="25">
        <f t="shared" si="46"/>
        <v>0</v>
      </c>
      <c r="H151" s="512">
        <f t="shared" si="47"/>
        <v>0</v>
      </c>
      <c r="I151" s="643"/>
      <c r="J151" s="652"/>
      <c r="K151" s="12"/>
      <c r="L151" s="12"/>
      <c r="M151" s="12"/>
      <c r="N151" s="524"/>
      <c r="O151" s="12"/>
    </row>
    <row r="152" spans="1:15" x14ac:dyDescent="0.25">
      <c r="A152" s="387">
        <v>4</v>
      </c>
      <c r="B152" s="354" t="s">
        <v>1489</v>
      </c>
      <c r="C152" s="388" t="s">
        <v>1490</v>
      </c>
      <c r="D152" s="470">
        <v>150</v>
      </c>
      <c r="E152" s="23"/>
      <c r="F152" s="468">
        <v>500</v>
      </c>
      <c r="G152" s="25">
        <f t="shared" si="46"/>
        <v>0</v>
      </c>
      <c r="H152" s="512">
        <f t="shared" si="47"/>
        <v>0</v>
      </c>
      <c r="I152" s="643"/>
      <c r="J152" s="652"/>
      <c r="K152" s="12"/>
      <c r="L152" s="12"/>
      <c r="M152" s="12"/>
      <c r="N152" s="524"/>
      <c r="O152" s="12"/>
    </row>
    <row r="153" spans="1:15" ht="28.5" x14ac:dyDescent="0.25">
      <c r="A153" s="387">
        <v>5</v>
      </c>
      <c r="B153" s="354" t="s">
        <v>1581</v>
      </c>
      <c r="C153" s="388" t="s">
        <v>1491</v>
      </c>
      <c r="D153" s="470">
        <v>20</v>
      </c>
      <c r="E153" s="23">
        <v>1</v>
      </c>
      <c r="F153" s="468">
        <v>39000</v>
      </c>
      <c r="G153" s="25">
        <f t="shared" si="46"/>
        <v>780000</v>
      </c>
      <c r="H153" s="512">
        <f t="shared" si="47"/>
        <v>1322.3925132239251</v>
      </c>
      <c r="I153" s="643"/>
      <c r="J153" s="652"/>
      <c r="K153" s="12"/>
      <c r="L153" s="12"/>
      <c r="M153" s="12"/>
      <c r="N153" s="524"/>
      <c r="O153" s="12"/>
    </row>
    <row r="154" spans="1:15" x14ac:dyDescent="0.25">
      <c r="A154" s="387"/>
      <c r="B154" s="354" t="s">
        <v>1582</v>
      </c>
      <c r="C154" s="388" t="s">
        <v>1583</v>
      </c>
      <c r="D154" s="470">
        <f>11+1+1+1+1+1+1+1+1</f>
        <v>19</v>
      </c>
      <c r="E154" s="23">
        <v>1</v>
      </c>
      <c r="F154" s="468">
        <v>25000</v>
      </c>
      <c r="G154" s="25">
        <f t="shared" si="46"/>
        <v>475000</v>
      </c>
      <c r="H154" s="512">
        <f t="shared" si="47"/>
        <v>805.30313305303127</v>
      </c>
      <c r="I154" s="643"/>
      <c r="J154" s="652"/>
      <c r="K154" s="12"/>
      <c r="L154" s="12"/>
      <c r="M154" s="12"/>
      <c r="N154" s="524"/>
      <c r="O154" s="12"/>
    </row>
    <row r="155" spans="1:15" x14ac:dyDescent="0.25">
      <c r="A155" s="387">
        <v>6</v>
      </c>
      <c r="B155" s="354" t="s">
        <v>1580</v>
      </c>
      <c r="C155" s="388" t="s">
        <v>1492</v>
      </c>
      <c r="D155" s="470">
        <v>150</v>
      </c>
      <c r="E155" s="23">
        <v>1</v>
      </c>
      <c r="F155" s="468">
        <v>500</v>
      </c>
      <c r="G155" s="25">
        <f t="shared" si="46"/>
        <v>75000</v>
      </c>
      <c r="H155" s="512">
        <f t="shared" si="47"/>
        <v>127.15312627153125</v>
      </c>
      <c r="I155" s="643"/>
      <c r="J155" s="652"/>
      <c r="K155" s="12"/>
      <c r="L155" s="12"/>
      <c r="M155" s="12"/>
      <c r="N155" s="524"/>
      <c r="O155" s="12"/>
    </row>
    <row r="156" spans="1:15" ht="16.5" thickBot="1" x14ac:dyDescent="0.3">
      <c r="A156" s="387">
        <v>7</v>
      </c>
      <c r="B156" s="354" t="s">
        <v>1493</v>
      </c>
      <c r="C156" s="388" t="s">
        <v>1493</v>
      </c>
      <c r="D156" s="470">
        <v>270</v>
      </c>
      <c r="E156" s="23">
        <v>1</v>
      </c>
      <c r="F156" s="468">
        <v>5000</v>
      </c>
      <c r="G156" s="25">
        <f t="shared" si="46"/>
        <v>1350000</v>
      </c>
      <c r="H156" s="512">
        <f t="shared" si="47"/>
        <v>2288.7562728875628</v>
      </c>
      <c r="I156" s="643"/>
      <c r="J156" s="652"/>
      <c r="K156" s="12"/>
      <c r="L156" s="12"/>
      <c r="M156" s="12"/>
      <c r="N156" s="524"/>
      <c r="O156" s="12"/>
    </row>
    <row r="157" spans="1:15" ht="18.75" thickBot="1" x14ac:dyDescent="0.3">
      <c r="A157" s="261" t="s">
        <v>1324</v>
      </c>
      <c r="B157" s="262"/>
      <c r="C157" s="261"/>
      <c r="D157" s="261"/>
      <c r="E157" s="261"/>
      <c r="F157" s="263"/>
      <c r="G157" s="263">
        <f>SUM(G149:G156)</f>
        <v>6180000</v>
      </c>
      <c r="H157" s="506">
        <f>SUM(H149:H156)</f>
        <v>10477.417604774175</v>
      </c>
      <c r="I157" s="643"/>
      <c r="J157" s="652"/>
      <c r="K157" s="12"/>
      <c r="L157" s="12"/>
      <c r="M157" s="12"/>
      <c r="N157" s="524"/>
      <c r="O157" s="12"/>
    </row>
    <row r="158" spans="1:15" ht="18" x14ac:dyDescent="0.25">
      <c r="A158" s="17"/>
      <c r="B158" s="18" t="s">
        <v>1620</v>
      </c>
      <c r="C158" s="19"/>
      <c r="D158" s="20"/>
      <c r="E158" s="19"/>
      <c r="F158" s="21"/>
      <c r="G158" s="21"/>
      <c r="H158"/>
      <c r="I158" s="643"/>
      <c r="J158" s="652"/>
      <c r="K158" s="12"/>
      <c r="L158" s="12"/>
      <c r="M158" s="12"/>
      <c r="N158" s="524"/>
      <c r="O158" s="12"/>
    </row>
    <row r="159" spans="1:15" ht="18" x14ac:dyDescent="0.25">
      <c r="A159" s="17"/>
      <c r="B159" s="205" t="s">
        <v>1568</v>
      </c>
      <c r="C159" s="23"/>
      <c r="D159" s="200"/>
      <c r="E159" s="23"/>
      <c r="F159" s="25"/>
      <c r="G159" s="25"/>
      <c r="H159" s="509"/>
      <c r="I159" s="643"/>
      <c r="J159" s="652"/>
      <c r="K159" s="12"/>
      <c r="L159" s="12"/>
      <c r="M159" s="12"/>
      <c r="N159" s="524"/>
      <c r="O159" s="12"/>
    </row>
    <row r="160" spans="1:15" x14ac:dyDescent="0.25">
      <c r="A160" s="22">
        <v>1</v>
      </c>
      <c r="B160" s="26" t="s">
        <v>1569</v>
      </c>
      <c r="C160" s="23" t="s">
        <v>28</v>
      </c>
      <c r="D160" s="23">
        <v>2</v>
      </c>
      <c r="E160" s="23">
        <v>6</v>
      </c>
      <c r="F160" s="25">
        <v>25000</v>
      </c>
      <c r="G160" s="25">
        <f t="shared" ref="G160:G171" si="48">D160*E160*F160</f>
        <v>300000</v>
      </c>
      <c r="H160" s="509">
        <f>G160/589.84</f>
        <v>508.612505086125</v>
      </c>
      <c r="I160" s="642">
        <f>G160*0.03</f>
        <v>9000</v>
      </c>
      <c r="J160" s="642">
        <f>1900*D160</f>
        <v>3800</v>
      </c>
      <c r="K160" s="642">
        <f>G160/D160</f>
        <v>150000</v>
      </c>
      <c r="L160" s="12"/>
      <c r="M160" s="12"/>
      <c r="N160" s="524"/>
      <c r="O160" s="12"/>
    </row>
    <row r="161" spans="1:15" x14ac:dyDescent="0.25">
      <c r="A161" s="22">
        <v>2</v>
      </c>
      <c r="B161" s="26" t="s">
        <v>1570</v>
      </c>
      <c r="C161" s="23" t="s">
        <v>28</v>
      </c>
      <c r="D161" s="23">
        <v>2</v>
      </c>
      <c r="E161" s="23">
        <v>5</v>
      </c>
      <c r="F161" s="25">
        <v>5000</v>
      </c>
      <c r="G161" s="25">
        <f t="shared" si="48"/>
        <v>50000</v>
      </c>
      <c r="H161" s="509">
        <f t="shared" ref="H161:H171" si="49">G161/589.84</f>
        <v>84.7687508476875</v>
      </c>
      <c r="I161" s="642">
        <f>G161*0.03</f>
        <v>1500</v>
      </c>
      <c r="J161" s="642">
        <f>550*D161</f>
        <v>1100</v>
      </c>
      <c r="K161" s="642">
        <f t="shared" ref="K161:K167" si="50">G161/D161</f>
        <v>25000</v>
      </c>
      <c r="L161" s="12"/>
      <c r="M161" s="12"/>
      <c r="N161" s="524"/>
      <c r="O161" s="12"/>
    </row>
    <row r="162" spans="1:15" x14ac:dyDescent="0.25">
      <c r="A162" s="22">
        <v>3</v>
      </c>
      <c r="B162" s="26" t="s">
        <v>1589</v>
      </c>
      <c r="C162" s="23" t="s">
        <v>28</v>
      </c>
      <c r="D162" s="23">
        <v>2</v>
      </c>
      <c r="E162" s="23">
        <v>6</v>
      </c>
      <c r="F162" s="25">
        <v>25000</v>
      </c>
      <c r="G162" s="25">
        <f t="shared" si="48"/>
        <v>300000</v>
      </c>
      <c r="H162" s="509">
        <f t="shared" si="49"/>
        <v>508.612505086125</v>
      </c>
      <c r="I162" s="642">
        <f t="shared" ref="I162:I163" si="51">G162*0.03</f>
        <v>9000</v>
      </c>
      <c r="J162" s="642">
        <f>1900*D162</f>
        <v>3800</v>
      </c>
      <c r="K162" s="642">
        <f t="shared" si="50"/>
        <v>150000</v>
      </c>
      <c r="L162" s="12"/>
      <c r="M162" s="12"/>
      <c r="N162" s="524"/>
      <c r="O162" s="12"/>
    </row>
    <row r="163" spans="1:15" x14ac:dyDescent="0.25">
      <c r="A163" s="22">
        <v>4</v>
      </c>
      <c r="B163" s="27" t="s">
        <v>293</v>
      </c>
      <c r="C163" s="23" t="s">
        <v>28</v>
      </c>
      <c r="D163" s="23">
        <v>11</v>
      </c>
      <c r="E163" s="23">
        <v>1</v>
      </c>
      <c r="F163" s="25">
        <v>12500</v>
      </c>
      <c r="G163" s="25">
        <f t="shared" si="48"/>
        <v>137500</v>
      </c>
      <c r="H163" s="509">
        <f t="shared" si="49"/>
        <v>233.11406483114064</v>
      </c>
      <c r="I163" s="642">
        <f t="shared" si="51"/>
        <v>4125</v>
      </c>
      <c r="J163" s="642">
        <f>450*D163</f>
        <v>4950</v>
      </c>
      <c r="K163" s="642">
        <f t="shared" si="50"/>
        <v>12500</v>
      </c>
      <c r="L163" s="12"/>
      <c r="M163" s="12"/>
      <c r="N163" s="524"/>
      <c r="O163" s="12"/>
    </row>
    <row r="164" spans="1:15" x14ac:dyDescent="0.25">
      <c r="A164" s="22">
        <v>5</v>
      </c>
      <c r="B164" s="26" t="s">
        <v>294</v>
      </c>
      <c r="C164" s="23" t="s">
        <v>90</v>
      </c>
      <c r="D164" s="17">
        <v>0</v>
      </c>
      <c r="E164" s="17">
        <v>1</v>
      </c>
      <c r="F164" s="730">
        <v>800</v>
      </c>
      <c r="G164" s="25">
        <f t="shared" si="48"/>
        <v>0</v>
      </c>
      <c r="H164" s="509">
        <f t="shared" si="49"/>
        <v>0</v>
      </c>
      <c r="I164" s="642">
        <v>0</v>
      </c>
      <c r="J164" s="642">
        <v>0</v>
      </c>
      <c r="K164" s="642">
        <v>0</v>
      </c>
      <c r="L164" s="12"/>
      <c r="M164" s="12"/>
      <c r="N164" s="524"/>
      <c r="O164" s="12"/>
    </row>
    <row r="165" spans="1:15" x14ac:dyDescent="0.25">
      <c r="A165" s="22">
        <v>6</v>
      </c>
      <c r="B165" s="26" t="s">
        <v>295</v>
      </c>
      <c r="C165" s="23" t="s">
        <v>90</v>
      </c>
      <c r="D165" s="17">
        <v>0</v>
      </c>
      <c r="E165" s="17">
        <v>1</v>
      </c>
      <c r="F165" s="730">
        <v>800</v>
      </c>
      <c r="G165" s="25">
        <f t="shared" si="48"/>
        <v>0</v>
      </c>
      <c r="H165" s="509">
        <f t="shared" si="49"/>
        <v>0</v>
      </c>
      <c r="I165" s="642">
        <v>0</v>
      </c>
      <c r="J165" s="642">
        <v>0</v>
      </c>
      <c r="K165" s="642">
        <v>0</v>
      </c>
      <c r="L165" s="12"/>
      <c r="M165" s="12"/>
      <c r="N165" s="524"/>
      <c r="O165" s="12"/>
    </row>
    <row r="166" spans="1:15" x14ac:dyDescent="0.25">
      <c r="A166" s="22">
        <v>7</v>
      </c>
      <c r="B166" s="26" t="s">
        <v>296</v>
      </c>
      <c r="C166" s="23" t="s">
        <v>1286</v>
      </c>
      <c r="D166" s="23">
        <v>2</v>
      </c>
      <c r="E166" s="23">
        <v>2</v>
      </c>
      <c r="F166" s="25">
        <f>11000+1000</f>
        <v>12000</v>
      </c>
      <c r="G166" s="25">
        <f t="shared" si="48"/>
        <v>48000</v>
      </c>
      <c r="H166" s="509">
        <f t="shared" si="49"/>
        <v>81.378000813780005</v>
      </c>
      <c r="I166" s="642"/>
      <c r="J166" s="642"/>
      <c r="K166" s="642">
        <f t="shared" si="50"/>
        <v>24000</v>
      </c>
      <c r="L166" s="12"/>
      <c r="M166" s="12"/>
      <c r="N166" s="524"/>
      <c r="O166" s="12"/>
    </row>
    <row r="167" spans="1:15" x14ac:dyDescent="0.25">
      <c r="A167" s="22">
        <v>8</v>
      </c>
      <c r="B167" s="26" t="s">
        <v>297</v>
      </c>
      <c r="C167" s="23" t="s">
        <v>1286</v>
      </c>
      <c r="D167" s="23">
        <v>2</v>
      </c>
      <c r="E167" s="23">
        <v>2</v>
      </c>
      <c r="F167" s="25">
        <v>5000</v>
      </c>
      <c r="G167" s="25">
        <f t="shared" si="48"/>
        <v>20000</v>
      </c>
      <c r="H167" s="509">
        <f t="shared" si="49"/>
        <v>33.907500339075</v>
      </c>
      <c r="I167" s="642"/>
      <c r="J167" s="642"/>
      <c r="K167" s="642">
        <f t="shared" si="50"/>
        <v>10000</v>
      </c>
      <c r="L167" s="12"/>
      <c r="M167" s="12"/>
      <c r="N167" s="524"/>
      <c r="O167" s="12"/>
    </row>
    <row r="168" spans="1:15" x14ac:dyDescent="0.25">
      <c r="A168" s="22">
        <v>9</v>
      </c>
      <c r="B168" s="27" t="s">
        <v>298</v>
      </c>
      <c r="C168" s="23" t="s">
        <v>1479</v>
      </c>
      <c r="D168" s="23">
        <v>1</v>
      </c>
      <c r="E168" s="23">
        <v>5</v>
      </c>
      <c r="F168" s="25">
        <v>0</v>
      </c>
      <c r="G168" s="25">
        <f t="shared" si="48"/>
        <v>0</v>
      </c>
      <c r="H168" s="509">
        <f t="shared" si="49"/>
        <v>0</v>
      </c>
      <c r="I168" s="643"/>
      <c r="J168" s="655"/>
      <c r="K168" s="613"/>
      <c r="L168" s="12"/>
      <c r="M168" s="12"/>
      <c r="N168" s="524"/>
      <c r="O168" s="12"/>
    </row>
    <row r="169" spans="1:15" ht="28.5" x14ac:dyDescent="0.25">
      <c r="A169" s="22">
        <v>10</v>
      </c>
      <c r="B169" s="26" t="s">
        <v>299</v>
      </c>
      <c r="C169" s="23" t="s">
        <v>90</v>
      </c>
      <c r="D169" s="23">
        <v>700</v>
      </c>
      <c r="E169" s="23">
        <v>1</v>
      </c>
      <c r="F169" s="25">
        <v>800</v>
      </c>
      <c r="G169" s="25">
        <f>D169*E169*F169</f>
        <v>560000</v>
      </c>
      <c r="H169" s="509">
        <f t="shared" si="49"/>
        <v>949.4100094941</v>
      </c>
      <c r="I169" s="643"/>
      <c r="J169" s="655"/>
      <c r="K169" s="613"/>
      <c r="L169" s="12"/>
      <c r="M169" s="12"/>
      <c r="N169" s="524"/>
      <c r="O169" s="12"/>
    </row>
    <row r="170" spans="1:15" x14ac:dyDescent="0.25">
      <c r="A170" s="22">
        <v>11</v>
      </c>
      <c r="B170" s="26" t="s">
        <v>300</v>
      </c>
      <c r="C170" s="23" t="s">
        <v>28</v>
      </c>
      <c r="D170" s="23">
        <v>11</v>
      </c>
      <c r="E170" s="23">
        <v>1</v>
      </c>
      <c r="F170" s="25">
        <v>5000</v>
      </c>
      <c r="G170" s="25">
        <f t="shared" si="48"/>
        <v>55000</v>
      </c>
      <c r="H170" s="509">
        <f t="shared" si="49"/>
        <v>93.24562593245625</v>
      </c>
      <c r="I170" s="643"/>
      <c r="J170" s="655"/>
      <c r="K170" s="613"/>
      <c r="L170" s="12"/>
      <c r="M170" s="12"/>
      <c r="N170" s="524"/>
      <c r="O170" s="12"/>
    </row>
    <row r="171" spans="1:15" x14ac:dyDescent="0.25">
      <c r="A171" s="22">
        <v>12</v>
      </c>
      <c r="B171" s="26" t="s">
        <v>301</v>
      </c>
      <c r="C171" s="23" t="s">
        <v>1531</v>
      </c>
      <c r="D171" s="23">
        <v>2</v>
      </c>
      <c r="E171" s="23">
        <v>1</v>
      </c>
      <c r="F171" s="25">
        <v>25000</v>
      </c>
      <c r="G171" s="25">
        <f t="shared" si="48"/>
        <v>50000</v>
      </c>
      <c r="H171" s="509">
        <f t="shared" si="49"/>
        <v>84.7687508476875</v>
      </c>
      <c r="I171" s="643"/>
      <c r="J171" s="655"/>
      <c r="K171" s="613"/>
      <c r="L171" s="12"/>
      <c r="M171" s="12"/>
      <c r="N171" s="524"/>
      <c r="O171" s="12"/>
    </row>
    <row r="172" spans="1:15" ht="18.75" thickBot="1" x14ac:dyDescent="0.3">
      <c r="A172" s="807" t="s">
        <v>1325</v>
      </c>
      <c r="B172" s="808"/>
      <c r="C172" s="426"/>
      <c r="D172" s="426"/>
      <c r="E172" s="426"/>
      <c r="F172" s="427"/>
      <c r="G172" s="427">
        <f>SUM(G160:G171)</f>
        <v>1520500</v>
      </c>
      <c r="H172" s="592">
        <f>SUM(H160:H171)</f>
        <v>2577.8177132781771</v>
      </c>
      <c r="I172" s="263">
        <f>SUM(I160:I171)</f>
        <v>23625</v>
      </c>
      <c r="J172" s="263">
        <f>SUM(J160:J171)</f>
        <v>13650</v>
      </c>
      <c r="K172" s="263">
        <f>SUM(K160:K171)</f>
        <v>371500</v>
      </c>
      <c r="L172" s="12"/>
      <c r="M172" s="12"/>
      <c r="N172" s="524"/>
      <c r="O172" s="12"/>
    </row>
    <row r="173" spans="1:15" ht="18" x14ac:dyDescent="0.25">
      <c r="A173" s="17"/>
      <c r="B173" s="205" t="s">
        <v>1326</v>
      </c>
      <c r="C173" s="23"/>
      <c r="D173" s="200"/>
      <c r="E173" s="23"/>
      <c r="F173" s="25"/>
      <c r="G173" s="25"/>
      <c r="H173" s="509"/>
      <c r="I173" s="643"/>
      <c r="J173" s="652"/>
      <c r="K173" s="12"/>
      <c r="L173" s="12"/>
      <c r="M173" s="12"/>
      <c r="N173" s="524"/>
      <c r="O173" s="12"/>
    </row>
    <row r="174" spans="1:15" x14ac:dyDescent="0.25">
      <c r="A174" s="22">
        <v>1</v>
      </c>
      <c r="B174" s="26" t="s">
        <v>1564</v>
      </c>
      <c r="C174" s="23" t="s">
        <v>28</v>
      </c>
      <c r="D174" s="23">
        <v>4</v>
      </c>
      <c r="E174" s="23">
        <v>10</v>
      </c>
      <c r="F174" s="25">
        <v>10000</v>
      </c>
      <c r="G174" s="25">
        <f t="shared" ref="G174:G176" si="52">D174*E174*F174</f>
        <v>400000</v>
      </c>
      <c r="H174" s="509">
        <f t="shared" ref="H174:H176" si="53">G174/589.84</f>
        <v>678.1500067815</v>
      </c>
      <c r="I174" s="642">
        <f>G174*0.03</f>
        <v>12000</v>
      </c>
      <c r="J174" s="642">
        <f>1600*D174</f>
        <v>6400</v>
      </c>
      <c r="K174" s="642">
        <f t="shared" ref="K174" si="54">G174/D174</f>
        <v>100000</v>
      </c>
      <c r="L174" s="12"/>
      <c r="M174" s="12"/>
      <c r="N174" s="524"/>
      <c r="O174" s="12"/>
    </row>
    <row r="175" spans="1:15" x14ac:dyDescent="0.25">
      <c r="A175" s="22">
        <v>2</v>
      </c>
      <c r="B175" s="26" t="s">
        <v>88</v>
      </c>
      <c r="C175" s="23" t="s">
        <v>90</v>
      </c>
      <c r="D175" s="23">
        <v>1500</v>
      </c>
      <c r="E175" s="200">
        <v>1</v>
      </c>
      <c r="F175" s="25">
        <v>800</v>
      </c>
      <c r="G175" s="25">
        <f t="shared" si="52"/>
        <v>1200000</v>
      </c>
      <c r="H175" s="346">
        <f t="shared" si="53"/>
        <v>2034.4500203445</v>
      </c>
      <c r="I175" s="643"/>
      <c r="J175" s="655"/>
      <c r="K175" s="613"/>
      <c r="L175" s="12"/>
      <c r="M175" s="12"/>
      <c r="N175" s="524"/>
      <c r="O175" s="12"/>
    </row>
    <row r="176" spans="1:15" x14ac:dyDescent="0.25">
      <c r="A176" s="22">
        <v>3</v>
      </c>
      <c r="B176" s="26" t="s">
        <v>302</v>
      </c>
      <c r="C176" s="23" t="s">
        <v>28</v>
      </c>
      <c r="D176" s="23">
        <v>0</v>
      </c>
      <c r="E176" s="23">
        <v>0</v>
      </c>
      <c r="F176" s="25">
        <v>10000</v>
      </c>
      <c r="G176" s="25">
        <f t="shared" si="52"/>
        <v>0</v>
      </c>
      <c r="H176" s="509">
        <f t="shared" si="53"/>
        <v>0</v>
      </c>
      <c r="I176" s="643"/>
      <c r="J176" s="655"/>
      <c r="K176" s="613"/>
      <c r="L176" s="12"/>
      <c r="M176" s="12"/>
      <c r="N176" s="524"/>
      <c r="O176" s="12"/>
    </row>
    <row r="177" spans="1:15" ht="18.75" thickBot="1" x14ac:dyDescent="0.3">
      <c r="A177" s="807" t="s">
        <v>1325</v>
      </c>
      <c r="B177" s="808"/>
      <c r="C177" s="426"/>
      <c r="D177" s="426"/>
      <c r="E177" s="426"/>
      <c r="F177" s="427"/>
      <c r="G177" s="427">
        <f>SUM(G174:G176)</f>
        <v>1600000</v>
      </c>
      <c r="H177" s="592">
        <f>SUM(H174:H176)</f>
        <v>2712.600027126</v>
      </c>
      <c r="I177" s="263">
        <f>SUM(I174:I176)</f>
        <v>12000</v>
      </c>
      <c r="J177" s="263">
        <f>SUM(J174:J176)</f>
        <v>6400</v>
      </c>
      <c r="K177" s="263">
        <f>SUM(K174:K176)</f>
        <v>100000</v>
      </c>
      <c r="L177" s="12"/>
      <c r="M177" s="12"/>
      <c r="N177" s="524"/>
      <c r="O177" s="12"/>
    </row>
    <row r="178" spans="1:15" ht="18.75" thickBot="1" x14ac:dyDescent="0.3">
      <c r="A178" s="261" t="s">
        <v>1327</v>
      </c>
      <c r="B178" s="262"/>
      <c r="C178" s="261"/>
      <c r="D178" s="261"/>
      <c r="E178" s="261"/>
      <c r="F178" s="263"/>
      <c r="G178" s="263"/>
      <c r="H178" s="506"/>
      <c r="I178" s="643"/>
      <c r="J178" s="652"/>
      <c r="K178" s="12"/>
      <c r="L178" s="12"/>
      <c r="M178" s="12"/>
      <c r="N178" s="524"/>
      <c r="O178" s="12"/>
    </row>
    <row r="179" spans="1:15" ht="18" x14ac:dyDescent="0.25">
      <c r="A179" s="17"/>
      <c r="B179" s="18" t="s">
        <v>1328</v>
      </c>
      <c r="C179" s="19"/>
      <c r="D179" s="20"/>
      <c r="E179" s="19"/>
      <c r="F179" s="21"/>
      <c r="G179" s="21"/>
      <c r="H179"/>
      <c r="I179" s="644"/>
      <c r="J179" s="653"/>
      <c r="K179" s="500"/>
      <c r="L179" s="500"/>
      <c r="M179" s="500"/>
      <c r="N179" s="521"/>
      <c r="O179" s="12"/>
    </row>
    <row r="180" spans="1:15" ht="28.5" x14ac:dyDescent="0.25">
      <c r="A180" s="22">
        <v>1</v>
      </c>
      <c r="B180" s="26" t="s">
        <v>303</v>
      </c>
      <c r="C180" s="23" t="s">
        <v>28</v>
      </c>
      <c r="D180" s="23">
        <v>0</v>
      </c>
      <c r="E180" s="23">
        <v>7</v>
      </c>
      <c r="F180" s="28">
        <v>3000</v>
      </c>
      <c r="G180" s="28">
        <f>D180*E180*F180</f>
        <v>0</v>
      </c>
      <c r="H180" s="509">
        <f>G180/589.84</f>
        <v>0</v>
      </c>
      <c r="I180" s="644"/>
      <c r="J180" s="653"/>
      <c r="K180" s="500"/>
      <c r="L180" s="500"/>
      <c r="M180" s="500"/>
      <c r="N180" s="521"/>
      <c r="O180" s="12"/>
    </row>
    <row r="181" spans="1:15" ht="28.5" x14ac:dyDescent="0.25">
      <c r="A181" s="22">
        <v>2</v>
      </c>
      <c r="B181" s="26" t="s">
        <v>304</v>
      </c>
      <c r="C181" s="23" t="s">
        <v>90</v>
      </c>
      <c r="D181" s="23">
        <v>0</v>
      </c>
      <c r="E181" s="23">
        <v>7</v>
      </c>
      <c r="F181" s="28">
        <v>800</v>
      </c>
      <c r="G181" s="28">
        <f t="shared" ref="G181:G194" si="55">D181*E181*F181</f>
        <v>0</v>
      </c>
      <c r="H181" s="509">
        <f>G181/589.84</f>
        <v>0</v>
      </c>
      <c r="I181" s="644"/>
      <c r="J181" s="653"/>
      <c r="K181" s="500"/>
      <c r="L181" s="500"/>
      <c r="M181" s="500"/>
      <c r="N181" s="521"/>
      <c r="O181" s="12"/>
    </row>
    <row r="182" spans="1:15" ht="28.5" x14ac:dyDescent="0.25">
      <c r="A182" s="22">
        <v>3</v>
      </c>
      <c r="B182" s="26" t="s">
        <v>305</v>
      </c>
      <c r="C182" s="23" t="s">
        <v>28</v>
      </c>
      <c r="D182" s="23">
        <v>0</v>
      </c>
      <c r="E182" s="23">
        <v>5</v>
      </c>
      <c r="F182" s="28">
        <v>5000</v>
      </c>
      <c r="G182" s="28">
        <f>D182*E182*F182</f>
        <v>0</v>
      </c>
      <c r="H182" s="509">
        <f t="shared" ref="H182:H194" si="56">G182/589.84</f>
        <v>0</v>
      </c>
      <c r="I182" s="644"/>
      <c r="J182" s="653"/>
      <c r="K182" s="500"/>
      <c r="L182" s="500"/>
      <c r="M182" s="500"/>
      <c r="N182" s="521"/>
      <c r="O182" s="12"/>
    </row>
    <row r="183" spans="1:15" x14ac:dyDescent="0.25">
      <c r="A183" s="22">
        <v>4</v>
      </c>
      <c r="B183" s="26" t="s">
        <v>306</v>
      </c>
      <c r="C183" s="23" t="s">
        <v>90</v>
      </c>
      <c r="D183" s="23">
        <v>50</v>
      </c>
      <c r="E183" s="23">
        <v>2</v>
      </c>
      <c r="F183" s="28">
        <v>800</v>
      </c>
      <c r="G183" s="28">
        <f>D183*E183*F183</f>
        <v>80000</v>
      </c>
      <c r="H183" s="509">
        <f t="shared" si="56"/>
        <v>135.6300013563</v>
      </c>
      <c r="I183" s="644"/>
      <c r="J183" s="653"/>
      <c r="K183" s="500"/>
      <c r="L183" s="500"/>
      <c r="M183" s="500"/>
      <c r="N183" s="521"/>
      <c r="O183" s="12"/>
    </row>
    <row r="184" spans="1:15" x14ac:dyDescent="0.25">
      <c r="A184" s="22">
        <v>5</v>
      </c>
      <c r="B184" s="26" t="s">
        <v>307</v>
      </c>
      <c r="C184" s="23" t="s">
        <v>90</v>
      </c>
      <c r="D184" s="23">
        <v>50</v>
      </c>
      <c r="E184" s="23">
        <v>3</v>
      </c>
      <c r="F184" s="28">
        <v>800</v>
      </c>
      <c r="G184" s="28">
        <f t="shared" si="55"/>
        <v>120000</v>
      </c>
      <c r="H184" s="509">
        <f t="shared" si="56"/>
        <v>203.44500203445</v>
      </c>
      <c r="I184" s="644"/>
      <c r="J184" s="653"/>
      <c r="K184" s="500"/>
      <c r="L184" s="500"/>
      <c r="M184" s="500"/>
      <c r="N184" s="521"/>
      <c r="O184" s="12"/>
    </row>
    <row r="185" spans="1:15" x14ac:dyDescent="0.25">
      <c r="A185" s="22">
        <v>6</v>
      </c>
      <c r="B185" s="26" t="s">
        <v>308</v>
      </c>
      <c r="C185" s="23" t="s">
        <v>28</v>
      </c>
      <c r="D185" s="23">
        <v>10</v>
      </c>
      <c r="E185" s="23">
        <v>1</v>
      </c>
      <c r="F185" s="28">
        <v>0</v>
      </c>
      <c r="G185" s="28">
        <f t="shared" si="55"/>
        <v>0</v>
      </c>
      <c r="H185" s="509">
        <f t="shared" si="56"/>
        <v>0</v>
      </c>
      <c r="I185" s="644"/>
      <c r="J185" s="653"/>
      <c r="K185" s="500"/>
      <c r="L185" s="500"/>
      <c r="M185" s="500"/>
      <c r="N185" s="521"/>
      <c r="O185" s="12"/>
    </row>
    <row r="186" spans="1:15" ht="16.5" thickBot="1" x14ac:dyDescent="0.3">
      <c r="A186" s="22">
        <v>7</v>
      </c>
      <c r="B186" s="26" t="s">
        <v>309</v>
      </c>
      <c r="C186" s="23" t="s">
        <v>7</v>
      </c>
      <c r="D186" s="23">
        <v>6000</v>
      </c>
      <c r="E186" s="23">
        <v>1</v>
      </c>
      <c r="F186" s="28">
        <v>0</v>
      </c>
      <c r="G186" s="28">
        <f t="shared" si="55"/>
        <v>0</v>
      </c>
      <c r="H186" s="510">
        <f t="shared" si="56"/>
        <v>0</v>
      </c>
      <c r="I186" s="644"/>
      <c r="J186" s="653"/>
      <c r="K186" s="500"/>
      <c r="L186" s="500"/>
      <c r="M186" s="500"/>
      <c r="N186" s="521"/>
      <c r="O186" s="12"/>
    </row>
    <row r="187" spans="1:15" x14ac:dyDescent="0.25">
      <c r="A187" s="22">
        <v>8</v>
      </c>
      <c r="B187" s="26" t="s">
        <v>310</v>
      </c>
      <c r="C187" s="23" t="s">
        <v>7</v>
      </c>
      <c r="D187" s="23">
        <v>560</v>
      </c>
      <c r="E187" s="23">
        <v>1</v>
      </c>
      <c r="F187" s="28">
        <v>0</v>
      </c>
      <c r="G187" s="28">
        <f t="shared" si="55"/>
        <v>0</v>
      </c>
      <c r="H187" s="509">
        <f t="shared" si="56"/>
        <v>0</v>
      </c>
      <c r="I187" s="644"/>
      <c r="J187" s="653"/>
      <c r="K187" s="500"/>
      <c r="L187" s="500"/>
      <c r="M187" s="500"/>
      <c r="N187" s="521"/>
      <c r="O187" s="12"/>
    </row>
    <row r="188" spans="1:15" x14ac:dyDescent="0.25">
      <c r="A188" s="22">
        <v>9</v>
      </c>
      <c r="B188" s="26" t="s">
        <v>311</v>
      </c>
      <c r="C188" s="23" t="s">
        <v>7</v>
      </c>
      <c r="D188" s="23">
        <v>110</v>
      </c>
      <c r="E188" s="23">
        <v>1</v>
      </c>
      <c r="F188" s="28">
        <v>0</v>
      </c>
      <c r="G188" s="28">
        <f t="shared" si="55"/>
        <v>0</v>
      </c>
      <c r="H188" s="509">
        <f t="shared" si="56"/>
        <v>0</v>
      </c>
      <c r="I188" s="644"/>
      <c r="J188" s="653"/>
      <c r="K188" s="500"/>
      <c r="L188" s="500"/>
      <c r="M188" s="500"/>
      <c r="N188" s="521"/>
      <c r="O188" s="12"/>
    </row>
    <row r="189" spans="1:15" x14ac:dyDescent="0.25">
      <c r="A189" s="22">
        <v>10</v>
      </c>
      <c r="B189" s="26" t="s">
        <v>312</v>
      </c>
      <c r="C189" s="23" t="s">
        <v>7</v>
      </c>
      <c r="D189" s="23">
        <v>110</v>
      </c>
      <c r="E189" s="23">
        <v>1</v>
      </c>
      <c r="F189" s="28">
        <v>0</v>
      </c>
      <c r="G189" s="28">
        <f t="shared" si="55"/>
        <v>0</v>
      </c>
      <c r="H189" s="509">
        <f t="shared" si="56"/>
        <v>0</v>
      </c>
      <c r="I189" s="644"/>
      <c r="J189" s="653"/>
      <c r="K189" s="500"/>
      <c r="L189" s="500"/>
      <c r="M189" s="500"/>
      <c r="N189" s="521"/>
      <c r="O189" s="12"/>
    </row>
    <row r="190" spans="1:15" ht="16.5" thickBot="1" x14ac:dyDescent="0.3">
      <c r="A190" s="22">
        <v>11</v>
      </c>
      <c r="B190" s="26" t="s">
        <v>313</v>
      </c>
      <c r="C190" s="23" t="s">
        <v>7</v>
      </c>
      <c r="D190" s="23">
        <v>110</v>
      </c>
      <c r="E190" s="23">
        <v>1</v>
      </c>
      <c r="F190" s="28">
        <v>0</v>
      </c>
      <c r="G190" s="28">
        <f t="shared" si="55"/>
        <v>0</v>
      </c>
      <c r="H190" s="510">
        <f t="shared" si="56"/>
        <v>0</v>
      </c>
      <c r="I190" s="644"/>
      <c r="J190" s="653"/>
      <c r="K190" s="500"/>
      <c r="L190" s="500"/>
      <c r="M190" s="500"/>
      <c r="N190" s="521"/>
      <c r="O190" s="12"/>
    </row>
    <row r="191" spans="1:15" x14ac:dyDescent="0.25">
      <c r="A191" s="22">
        <v>12</v>
      </c>
      <c r="B191" s="26" t="s">
        <v>314</v>
      </c>
      <c r="C191" s="23" t="s">
        <v>7</v>
      </c>
      <c r="D191" s="72">
        <v>110</v>
      </c>
      <c r="E191" s="72">
        <v>1</v>
      </c>
      <c r="F191" s="28">
        <v>0</v>
      </c>
      <c r="G191" s="28">
        <f t="shared" si="55"/>
        <v>0</v>
      </c>
      <c r="H191" s="509">
        <f t="shared" si="56"/>
        <v>0</v>
      </c>
      <c r="I191" s="644"/>
      <c r="J191" s="653"/>
      <c r="K191" s="500"/>
      <c r="L191" s="500"/>
      <c r="M191" s="500"/>
      <c r="N191" s="521"/>
      <c r="O191" s="12"/>
    </row>
    <row r="192" spans="1:15" x14ac:dyDescent="0.25">
      <c r="A192" s="22">
        <v>13</v>
      </c>
      <c r="B192" s="26" t="s">
        <v>315</v>
      </c>
      <c r="C192" s="23" t="s">
        <v>7</v>
      </c>
      <c r="D192" s="72">
        <v>11</v>
      </c>
      <c r="E192" s="72">
        <v>1</v>
      </c>
      <c r="F192" s="28">
        <v>0</v>
      </c>
      <c r="G192" s="28">
        <f t="shared" si="55"/>
        <v>0</v>
      </c>
      <c r="H192" s="509">
        <f t="shared" si="56"/>
        <v>0</v>
      </c>
      <c r="I192" s="644"/>
      <c r="J192" s="653"/>
      <c r="K192" s="500"/>
      <c r="L192" s="500"/>
      <c r="M192" s="500"/>
      <c r="N192" s="521"/>
      <c r="O192" s="12"/>
    </row>
    <row r="193" spans="1:15" x14ac:dyDescent="0.25">
      <c r="A193" s="22">
        <v>14</v>
      </c>
      <c r="B193" s="26" t="s">
        <v>316</v>
      </c>
      <c r="C193" s="23" t="s">
        <v>7</v>
      </c>
      <c r="D193" s="23">
        <v>162</v>
      </c>
      <c r="E193" s="23">
        <v>1</v>
      </c>
      <c r="F193" s="28">
        <v>0</v>
      </c>
      <c r="G193" s="28">
        <f t="shared" si="55"/>
        <v>0</v>
      </c>
      <c r="H193" s="509">
        <f t="shared" si="56"/>
        <v>0</v>
      </c>
      <c r="I193" s="644"/>
      <c r="J193" s="653"/>
      <c r="K193" s="500"/>
      <c r="L193" s="500"/>
      <c r="M193" s="500"/>
      <c r="N193" s="521"/>
      <c r="O193" s="12"/>
    </row>
    <row r="194" spans="1:15" ht="16.5" thickBot="1" x14ac:dyDescent="0.3">
      <c r="A194" s="22">
        <v>15</v>
      </c>
      <c r="B194" s="26" t="s">
        <v>317</v>
      </c>
      <c r="C194" s="23" t="s">
        <v>7</v>
      </c>
      <c r="D194" s="72">
        <v>20</v>
      </c>
      <c r="E194" s="72">
        <v>1</v>
      </c>
      <c r="F194" s="28">
        <v>0</v>
      </c>
      <c r="G194" s="28">
        <f t="shared" si="55"/>
        <v>0</v>
      </c>
      <c r="H194" s="510">
        <f t="shared" si="56"/>
        <v>0</v>
      </c>
      <c r="I194" s="645"/>
      <c r="J194" s="654"/>
      <c r="K194" s="10"/>
      <c r="L194" s="10"/>
      <c r="M194" s="5"/>
      <c r="N194" s="519"/>
      <c r="O194" s="12"/>
    </row>
    <row r="195" spans="1:15" ht="18.75" thickBot="1" x14ac:dyDescent="0.3">
      <c r="A195" s="261" t="s">
        <v>1329</v>
      </c>
      <c r="B195" s="262"/>
      <c r="C195" s="261"/>
      <c r="D195" s="261"/>
      <c r="E195" s="261"/>
      <c r="F195" s="263"/>
      <c r="G195" s="263">
        <f>SUM(G180:G194)</f>
        <v>200000</v>
      </c>
      <c r="H195" s="506">
        <f>SUM(H180:H194)</f>
        <v>339.07500339075</v>
      </c>
      <c r="I195" s="643"/>
      <c r="J195" s="652"/>
      <c r="K195" s="12"/>
      <c r="L195" s="12"/>
      <c r="M195" s="12"/>
      <c r="N195" s="524"/>
      <c r="O195" s="12"/>
    </row>
    <row r="196" spans="1:15" ht="24" thickBot="1" x14ac:dyDescent="0.4">
      <c r="A196" s="784" t="s">
        <v>1330</v>
      </c>
      <c r="B196" s="785"/>
      <c r="C196" s="785"/>
      <c r="D196" s="785"/>
      <c r="E196" s="786"/>
      <c r="F196" s="351"/>
      <c r="G196" s="352">
        <f>SUM(G195+G177+G172+G157+G147+G127+G110+G89+G177+G71+G56+G45+G39+G36+G32)</f>
        <v>243819350</v>
      </c>
      <c r="H196" s="517">
        <f>SUM(H195+H177+H172+H157+H127+H110+H89+H71+H56+H45+H147+H39+H36+H32)</f>
        <v>316194.81554319826</v>
      </c>
      <c r="I196" s="517">
        <f>I32+I36+I39+I56+I71+I89+I110+I172+I177</f>
        <v>654585</v>
      </c>
      <c r="J196" s="517">
        <f>J32+J36+J39+J56+J71+J89+J110+J172+J177</f>
        <v>282525</v>
      </c>
      <c r="K196" s="12"/>
      <c r="L196" s="12"/>
      <c r="M196" s="12"/>
      <c r="N196" s="524"/>
      <c r="O196" s="12"/>
    </row>
    <row r="197" spans="1:15" ht="15.75" customHeight="1" x14ac:dyDescent="0.35">
      <c r="A197" s="560"/>
      <c r="B197" s="562"/>
      <c r="C197" s="562"/>
      <c r="D197" s="562"/>
      <c r="E197" s="562"/>
      <c r="F197" s="558"/>
      <c r="G197" s="563"/>
      <c r="H197" s="563"/>
      <c r="I197" s="646"/>
      <c r="J197" s="656"/>
      <c r="K197" s="561"/>
      <c r="L197" s="561"/>
      <c r="M197" s="561"/>
      <c r="N197" s="561"/>
      <c r="O197" s="561"/>
    </row>
    <row r="198" spans="1:15" x14ac:dyDescent="0.25">
      <c r="A198" s="1" t="s">
        <v>1535</v>
      </c>
      <c r="B198" s="1"/>
      <c r="C198" s="1"/>
      <c r="D198" s="1"/>
      <c r="E198" s="1"/>
      <c r="F198" s="526"/>
      <c r="G198" s="1"/>
      <c r="H198" s="82"/>
      <c r="I198" s="638"/>
      <c r="J198" s="648"/>
      <c r="K198" s="2"/>
      <c r="L198" s="2"/>
      <c r="M198" s="2"/>
      <c r="N198" s="2"/>
      <c r="O198" s="2"/>
    </row>
    <row r="199" spans="1:15" x14ac:dyDescent="0.25">
      <c r="A199" s="1" t="s">
        <v>1538</v>
      </c>
      <c r="B199" s="1"/>
      <c r="C199" s="1"/>
      <c r="D199" s="1"/>
      <c r="E199" s="1"/>
      <c r="F199" s="527"/>
      <c r="G199" s="1"/>
      <c r="H199" s="82"/>
      <c r="I199" s="638"/>
      <c r="J199" s="648"/>
      <c r="K199" s="2"/>
      <c r="L199" s="2"/>
      <c r="M199" s="2"/>
      <c r="N199" s="2"/>
      <c r="O199" s="2"/>
    </row>
    <row r="200" spans="1:15" x14ac:dyDescent="0.25">
      <c r="A200" s="1" t="s">
        <v>1331</v>
      </c>
      <c r="B200" s="1"/>
      <c r="C200" s="1"/>
      <c r="D200" s="1"/>
      <c r="E200" s="1"/>
      <c r="F200" s="527"/>
      <c r="G200" s="1"/>
      <c r="H200" s="82"/>
      <c r="I200" s="638" t="s">
        <v>1536</v>
      </c>
      <c r="J200" s="648"/>
      <c r="K200" s="2"/>
      <c r="L200" s="2"/>
      <c r="M200" s="2" t="s">
        <v>1530</v>
      </c>
      <c r="N200" s="2"/>
      <c r="O200" s="2"/>
    </row>
    <row r="201" spans="1:15" x14ac:dyDescent="0.25">
      <c r="A201" s="1"/>
      <c r="B201" s="1"/>
      <c r="C201" s="1"/>
      <c r="D201" s="1"/>
      <c r="E201" s="1"/>
      <c r="F201" s="1"/>
      <c r="G201" s="1"/>
      <c r="H201" s="82"/>
      <c r="I201" s="638"/>
      <c r="J201" s="648"/>
      <c r="K201" s="2"/>
      <c r="L201" s="2"/>
      <c r="M201" s="2"/>
      <c r="N201" s="2"/>
      <c r="O201" s="2"/>
    </row>
    <row r="202" spans="1:15" x14ac:dyDescent="0.25">
      <c r="A202" s="1" t="s">
        <v>1537</v>
      </c>
      <c r="B202" s="1"/>
      <c r="C202" s="1"/>
      <c r="D202" s="1"/>
      <c r="E202" s="1"/>
      <c r="F202" s="1"/>
      <c r="G202" s="1"/>
      <c r="H202" s="82"/>
      <c r="I202" s="638"/>
      <c r="J202" s="648"/>
      <c r="K202" s="2"/>
      <c r="L202" s="2"/>
      <c r="M202" s="2"/>
      <c r="N202" s="2"/>
      <c r="O202" s="2"/>
    </row>
    <row r="203" spans="1:15" x14ac:dyDescent="0.25">
      <c r="B203" s="121"/>
    </row>
    <row r="204" spans="1:15" x14ac:dyDescent="0.25">
      <c r="B204" s="121"/>
    </row>
    <row r="205" spans="1:15" x14ac:dyDescent="0.25">
      <c r="B205" s="121"/>
    </row>
    <row r="206" spans="1:15" x14ac:dyDescent="0.25">
      <c r="B206" s="121"/>
    </row>
    <row r="207" spans="1:15" x14ac:dyDescent="0.25">
      <c r="B207" s="121"/>
    </row>
  </sheetData>
  <mergeCells count="5">
    <mergeCell ref="O7:O8"/>
    <mergeCell ref="A172:B172"/>
    <mergeCell ref="A177:B177"/>
    <mergeCell ref="A196:E196"/>
    <mergeCell ref="A7:H7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3"/>
  <sheetViews>
    <sheetView topLeftCell="A2" zoomScale="150" zoomScaleNormal="150" workbookViewId="0">
      <selection activeCell="E9" sqref="E9"/>
    </sheetView>
  </sheetViews>
  <sheetFormatPr baseColWidth="10" defaultColWidth="9" defaultRowHeight="15.75" x14ac:dyDescent="0.25"/>
  <cols>
    <col min="1" max="1" width="5.875" customWidth="1"/>
    <col min="2" max="2" width="16.625" customWidth="1"/>
    <col min="3" max="3" width="19" customWidth="1"/>
    <col min="4" max="6" width="15.375" customWidth="1"/>
    <col min="8" max="8" width="13.5" customWidth="1"/>
    <col min="9" max="9" width="12.5" bestFit="1" customWidth="1"/>
  </cols>
  <sheetData>
    <row r="1" spans="1:10" ht="16.5" thickBot="1" x14ac:dyDescent="0.3"/>
    <row r="2" spans="1:10" ht="16.5" thickBot="1" x14ac:dyDescent="0.3">
      <c r="A2" s="716" t="s">
        <v>1433</v>
      </c>
      <c r="B2" s="717" t="s">
        <v>1431</v>
      </c>
      <c r="C2" s="717" t="s">
        <v>1288</v>
      </c>
      <c r="D2" s="717" t="s">
        <v>1563</v>
      </c>
      <c r="E2" s="717" t="s">
        <v>1625</v>
      </c>
      <c r="F2" s="718" t="s">
        <v>1626</v>
      </c>
      <c r="I2" s="462"/>
      <c r="J2" s="462"/>
    </row>
    <row r="3" spans="1:10" x14ac:dyDescent="0.25">
      <c r="A3" s="710">
        <v>1</v>
      </c>
      <c r="B3" s="711" t="s">
        <v>18</v>
      </c>
      <c r="C3" s="712">
        <f>+'RS BAFATA'!G273</f>
        <v>62623000</v>
      </c>
      <c r="D3" s="712">
        <f>+'RS BAFATA'!H273</f>
        <v>105703.24155703241</v>
      </c>
      <c r="E3" s="712">
        <f>'RS BAFATA'!I273</f>
        <v>1566810</v>
      </c>
      <c r="F3" s="713">
        <f>'RS BAFATA'!J273</f>
        <v>1272050</v>
      </c>
      <c r="I3" s="462"/>
      <c r="J3" s="462"/>
    </row>
    <row r="4" spans="1:10" x14ac:dyDescent="0.25">
      <c r="A4" s="625">
        <v>2</v>
      </c>
      <c r="B4" s="491" t="s">
        <v>19</v>
      </c>
      <c r="C4" s="492">
        <f>+'RS BIJAGÓS'!G238</f>
        <v>19107000</v>
      </c>
      <c r="D4" s="492">
        <f>+'RS BIJAGÓS'!H238</f>
        <v>32393.530448935308</v>
      </c>
      <c r="E4" s="492">
        <f>'RS BIJAGÓS'!I238</f>
        <v>323595</v>
      </c>
      <c r="F4" s="626">
        <f>'RS BIJAGÓS'!J238</f>
        <v>261075</v>
      </c>
      <c r="I4" s="462"/>
      <c r="J4" s="462"/>
    </row>
    <row r="5" spans="1:10" x14ac:dyDescent="0.25">
      <c r="A5" s="625">
        <v>3</v>
      </c>
      <c r="B5" s="491" t="s">
        <v>1432</v>
      </c>
      <c r="C5" s="492">
        <f>+'RS BIOMBO'!G196</f>
        <v>25273700</v>
      </c>
      <c r="D5" s="492">
        <f>+'RS BIOMBO'!H196</f>
        <v>42848.399565983986</v>
      </c>
      <c r="E5" s="492">
        <f>'RS BIOMBO'!I196</f>
        <v>646080</v>
      </c>
      <c r="F5" s="626">
        <f>'RS BIOMBO'!J196</f>
        <v>487825</v>
      </c>
      <c r="I5" s="462"/>
      <c r="J5" s="462"/>
    </row>
    <row r="6" spans="1:10" x14ac:dyDescent="0.25">
      <c r="A6" s="625">
        <v>4</v>
      </c>
      <c r="B6" s="491" t="s">
        <v>20</v>
      </c>
      <c r="C6" s="492">
        <f>+'RS BOLAMA'!G137</f>
        <v>6532700</v>
      </c>
      <c r="D6" s="492">
        <f>+'RS BOLAMA'!H137</f>
        <v>10778.685745286857</v>
      </c>
      <c r="E6" s="492">
        <f>'RS BOLAMA'!I137</f>
        <v>134835</v>
      </c>
      <c r="F6" s="626">
        <f>'RS BOLAMA'!J137</f>
        <v>136250</v>
      </c>
      <c r="I6" s="462"/>
      <c r="J6" s="462"/>
    </row>
    <row r="7" spans="1:10" x14ac:dyDescent="0.25">
      <c r="A7" s="625">
        <v>5</v>
      </c>
      <c r="B7" s="491" t="s">
        <v>21</v>
      </c>
      <c r="C7" s="492">
        <f>+'RS CACHEU'!G328</f>
        <v>52937500</v>
      </c>
      <c r="D7" s="492">
        <f>+'RS CACHEU'!H328</f>
        <v>89748.914959989139</v>
      </c>
      <c r="E7" s="492">
        <f>'RS CACHEU'!I328</f>
        <v>1371570</v>
      </c>
      <c r="F7" s="626">
        <f>'RS CACHEU'!J328</f>
        <v>1095125</v>
      </c>
      <c r="H7" s="817"/>
      <c r="I7" s="817"/>
      <c r="J7" s="462"/>
    </row>
    <row r="8" spans="1:10" ht="16.5" thickBot="1" x14ac:dyDescent="0.3">
      <c r="A8" s="625">
        <v>6</v>
      </c>
      <c r="B8" s="491" t="s">
        <v>22</v>
      </c>
      <c r="C8" s="492">
        <f>+'RS FARIM'!G159</f>
        <v>16578650</v>
      </c>
      <c r="D8" s="492">
        <f>+'RS FARIM'!H159</f>
        <v>28107.029024820287</v>
      </c>
      <c r="E8" s="492">
        <f>'RS FARIM'!I159</f>
        <v>424350</v>
      </c>
      <c r="F8" s="626">
        <f>'RS FARIM'!J159</f>
        <v>337650</v>
      </c>
      <c r="H8" s="621" t="s">
        <v>1566</v>
      </c>
      <c r="I8" s="633" t="s">
        <v>1563</v>
      </c>
      <c r="J8" s="462"/>
    </row>
    <row r="9" spans="1:10" x14ac:dyDescent="0.25">
      <c r="A9" s="625">
        <v>7</v>
      </c>
      <c r="B9" s="491" t="s">
        <v>23</v>
      </c>
      <c r="C9" s="492">
        <f>+'RS GABU'!G329</f>
        <v>61676000</v>
      </c>
      <c r="D9" s="492">
        <f>+'RS GABU'!H329</f>
        <v>104563.94954563949</v>
      </c>
      <c r="E9" s="492">
        <f>'RS GABU'!I329</f>
        <v>1621470</v>
      </c>
      <c r="F9" s="626">
        <f>'RS GABU'!J329</f>
        <v>1275375</v>
      </c>
      <c r="H9" s="815" t="s">
        <v>1562</v>
      </c>
      <c r="I9" s="816"/>
      <c r="J9" s="462"/>
    </row>
    <row r="10" spans="1:10" ht="16.5" thickBot="1" x14ac:dyDescent="0.3">
      <c r="A10" s="625">
        <v>8</v>
      </c>
      <c r="B10" s="491" t="s">
        <v>24</v>
      </c>
      <c r="C10" s="492">
        <f>+'RS OIO'!G220</f>
        <v>52989800</v>
      </c>
      <c r="D10" s="492">
        <f>+'RS OIO'!H220</f>
        <v>90600.501831005007</v>
      </c>
      <c r="E10" s="492">
        <f>'RS OIO'!I220</f>
        <v>1389510</v>
      </c>
      <c r="F10" s="626">
        <f>'RS OIO'!J220</f>
        <v>1077875</v>
      </c>
      <c r="H10" s="622">
        <f>C3+C9</f>
        <v>124299000</v>
      </c>
      <c r="I10" s="623">
        <f>D3+D9</f>
        <v>210267.1911026719</v>
      </c>
      <c r="J10" s="462"/>
    </row>
    <row r="11" spans="1:10" x14ac:dyDescent="0.25">
      <c r="A11" s="625">
        <v>9</v>
      </c>
      <c r="B11" s="491" t="s">
        <v>25</v>
      </c>
      <c r="C11" s="492">
        <f>+'RS QUINARA'!G171</f>
        <v>22333000</v>
      </c>
      <c r="D11" s="492">
        <f>+'RS QUINARA'!H171</f>
        <v>37727.180252271806</v>
      </c>
      <c r="E11" s="492">
        <f>'RS QUINARA'!I171</f>
        <v>551925</v>
      </c>
      <c r="F11" s="626">
        <f>'RS QUINARA'!J171</f>
        <v>435000</v>
      </c>
      <c r="I11" s="462"/>
      <c r="J11" s="462"/>
    </row>
    <row r="12" spans="1:10" x14ac:dyDescent="0.25">
      <c r="A12" s="625">
        <v>10</v>
      </c>
      <c r="B12" s="491" t="s">
        <v>26</v>
      </c>
      <c r="C12" s="492">
        <f>+'RS SAB'!G268</f>
        <v>54293500</v>
      </c>
      <c r="D12" s="492">
        <f>+'RS SAB'!H268</f>
        <v>86468.364302183632</v>
      </c>
      <c r="E12" s="492">
        <f>'RS SAB'!I268</f>
        <v>1428015</v>
      </c>
      <c r="F12" s="626">
        <f>'RS SAB'!J268</f>
        <v>1256400</v>
      </c>
    </row>
    <row r="13" spans="1:10" x14ac:dyDescent="0.25">
      <c r="A13" s="625">
        <v>11</v>
      </c>
      <c r="B13" s="491" t="s">
        <v>27</v>
      </c>
      <c r="C13" s="492">
        <f>+'RS TOMBALI '!G196</f>
        <v>29035500</v>
      </c>
      <c r="D13" s="492">
        <f>+'RS TOMBALI '!H196</f>
        <v>49226.061304760602</v>
      </c>
      <c r="E13" s="492">
        <f>'RS TOMBALI '!I196</f>
        <v>558315</v>
      </c>
      <c r="F13" s="626">
        <f>'RS TOMBALI '!J196</f>
        <v>501650</v>
      </c>
    </row>
    <row r="14" spans="1:10" x14ac:dyDescent="0.25">
      <c r="A14" s="625">
        <v>12</v>
      </c>
      <c r="B14" s="491" t="s">
        <v>1434</v>
      </c>
      <c r="C14" s="492">
        <f>+'NÍVEL CENTRAL'!G196</f>
        <v>243819350</v>
      </c>
      <c r="D14" s="492">
        <f>+'NÍVEL CENTRAL'!H196</f>
        <v>316194.81554319826</v>
      </c>
      <c r="E14" s="492">
        <f>'NÍVEL CENTRAL'!I196</f>
        <v>654585</v>
      </c>
      <c r="F14" s="626">
        <f>'NÍVEL CENTRAL'!J196</f>
        <v>282525</v>
      </c>
    </row>
    <row r="15" spans="1:10" ht="21.75" thickBot="1" x14ac:dyDescent="0.4">
      <c r="A15" s="813" t="s">
        <v>1477</v>
      </c>
      <c r="B15" s="814"/>
      <c r="C15" s="494">
        <f>SUM(C3:C14)</f>
        <v>647199700</v>
      </c>
      <c r="D15" s="494">
        <f>SUM(D3:D14)</f>
        <v>994360.6740811069</v>
      </c>
      <c r="E15" s="494">
        <f>SUM(E3:E14)</f>
        <v>10671060</v>
      </c>
      <c r="F15" s="627">
        <f>SUM(F3:F14)</f>
        <v>8418800</v>
      </c>
    </row>
    <row r="16" spans="1:10" x14ac:dyDescent="0.25">
      <c r="A16" s="625">
        <v>1</v>
      </c>
      <c r="B16" s="491" t="s">
        <v>1440</v>
      </c>
      <c r="C16" s="493">
        <f>+D16*596.01</f>
        <v>333598717.19999999</v>
      </c>
      <c r="D16" s="714">
        <v>559720</v>
      </c>
      <c r="E16" s="714"/>
      <c r="F16" s="628"/>
      <c r="H16" s="815" t="s">
        <v>1565</v>
      </c>
      <c r="I16" s="816"/>
    </row>
    <row r="17" spans="1:9" ht="16.5" thickBot="1" x14ac:dyDescent="0.3">
      <c r="A17" s="629">
        <v>2</v>
      </c>
      <c r="B17" s="630" t="s">
        <v>1441</v>
      </c>
      <c r="C17" s="631">
        <f>+C15-C16</f>
        <v>313600982.80000001</v>
      </c>
      <c r="D17" s="715">
        <f>+D15-D16</f>
        <v>434640.6740811069</v>
      </c>
      <c r="E17" s="715"/>
      <c r="F17" s="632"/>
      <c r="H17" s="622">
        <f>C17-H10</f>
        <v>189301982.80000001</v>
      </c>
      <c r="I17" s="624">
        <f>D17-I10</f>
        <v>224373.482978435</v>
      </c>
    </row>
    <row r="18" spans="1:9" x14ac:dyDescent="0.25">
      <c r="C18" s="619"/>
      <c r="D18" s="620"/>
      <c r="E18" s="620"/>
      <c r="F18" s="620"/>
    </row>
    <row r="21" spans="1:9" x14ac:dyDescent="0.25">
      <c r="C21" s="619">
        <f>C15*0.03</f>
        <v>19415991</v>
      </c>
      <c r="H21">
        <f>5166*1900*14</f>
        <v>137415600</v>
      </c>
    </row>
    <row r="22" spans="1:9" x14ac:dyDescent="0.25">
      <c r="C22" s="619">
        <f>5166*2600</f>
        <v>13431600</v>
      </c>
    </row>
    <row r="23" spans="1:9" x14ac:dyDescent="0.25">
      <c r="C23" s="619">
        <f>C21+C22</f>
        <v>32847591</v>
      </c>
    </row>
  </sheetData>
  <mergeCells count="4">
    <mergeCell ref="A15:B15"/>
    <mergeCell ref="H9:I9"/>
    <mergeCell ref="H16:I16"/>
    <mergeCell ref="H7:I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8"/>
  <sheetViews>
    <sheetView topLeftCell="A40" workbookViewId="0">
      <selection activeCell="A53" sqref="A53:XFD53"/>
    </sheetView>
  </sheetViews>
  <sheetFormatPr baseColWidth="10" defaultColWidth="10.625" defaultRowHeight="15.75" x14ac:dyDescent="0.25"/>
  <cols>
    <col min="1" max="1" width="18.5" style="48" customWidth="1"/>
    <col min="2" max="2" width="56" style="48" customWidth="1"/>
    <col min="3" max="3" width="14.375" style="48" customWidth="1"/>
    <col min="4" max="4" width="8.5" style="48" customWidth="1"/>
    <col min="5" max="5" width="11.375" style="48" customWidth="1"/>
    <col min="6" max="6" width="15.875" style="48" customWidth="1"/>
    <col min="7" max="7" width="28.375" style="48" bestFit="1" customWidth="1"/>
    <col min="8" max="8" width="23.625" style="48" customWidth="1"/>
    <col min="9" max="9" width="18.25" style="647" customWidth="1"/>
    <col min="10" max="10" width="18.25" style="657" customWidth="1"/>
    <col min="11" max="11" width="11.125" customWidth="1"/>
    <col min="12" max="13" width="8.875" customWidth="1"/>
    <col min="14" max="14" width="12.375" customWidth="1"/>
    <col min="15" max="15" width="13.125" style="520" customWidth="1"/>
    <col min="16" max="253" width="8.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638"/>
      <c r="J1" s="648"/>
      <c r="K1" s="2"/>
      <c r="L1" s="2"/>
      <c r="M1" s="2"/>
      <c r="N1" s="2"/>
      <c r="O1" s="2"/>
    </row>
    <row r="2" spans="1:15" x14ac:dyDescent="0.25">
      <c r="A2" s="1"/>
      <c r="B2" s="1"/>
      <c r="C2" s="1"/>
      <c r="D2" s="1"/>
      <c r="E2" s="1"/>
      <c r="F2" s="1"/>
      <c r="G2" s="1"/>
      <c r="H2" s="1"/>
      <c r="I2" s="638"/>
      <c r="J2" s="648"/>
      <c r="K2" s="2"/>
      <c r="L2" s="2"/>
      <c r="M2" s="2"/>
      <c r="N2" s="2"/>
      <c r="O2" s="2"/>
    </row>
    <row r="3" spans="1:15" x14ac:dyDescent="0.25">
      <c r="A3" s="1"/>
      <c r="B3" s="1"/>
      <c r="C3" s="1"/>
      <c r="D3" s="1"/>
      <c r="E3" s="1"/>
      <c r="F3" s="1"/>
      <c r="G3" s="1"/>
      <c r="H3" s="1"/>
      <c r="I3" s="638"/>
      <c r="J3" s="648"/>
      <c r="K3" s="2"/>
      <c r="L3" s="2"/>
      <c r="M3" s="2"/>
      <c r="N3" s="2"/>
      <c r="O3" s="2"/>
    </row>
    <row r="4" spans="1:15" ht="16.5" thickBot="1" x14ac:dyDescent="0.3">
      <c r="A4" s="1"/>
      <c r="B4" s="1"/>
      <c r="C4" s="1"/>
      <c r="D4" s="1"/>
      <c r="E4" s="1"/>
      <c r="F4" s="1"/>
      <c r="G4" s="1"/>
      <c r="H4" s="1"/>
      <c r="I4" s="638"/>
      <c r="J4" s="648"/>
      <c r="K4" s="2"/>
      <c r="L4" s="2"/>
      <c r="M4" s="2"/>
      <c r="N4" s="2"/>
      <c r="O4" s="2"/>
    </row>
    <row r="5" spans="1:15" ht="24" thickBot="1" x14ac:dyDescent="0.3">
      <c r="A5" s="1"/>
      <c r="B5" s="1"/>
      <c r="C5" s="382"/>
      <c r="D5" s="353"/>
      <c r="E5" s="1"/>
      <c r="F5" s="353"/>
      <c r="G5" s="1"/>
      <c r="H5" s="1"/>
      <c r="I5" s="638"/>
      <c r="J5" s="648"/>
      <c r="K5" s="2"/>
      <c r="L5" s="2"/>
      <c r="M5" s="2"/>
      <c r="N5" s="2"/>
      <c r="O5" s="2"/>
    </row>
    <row r="6" spans="1:15" ht="16.5" thickBot="1" x14ac:dyDescent="0.3">
      <c r="A6" s="1"/>
      <c r="B6" s="1"/>
      <c r="C6" s="1"/>
      <c r="D6" s="1"/>
      <c r="E6" s="1"/>
      <c r="F6" s="1"/>
      <c r="G6" s="1"/>
      <c r="H6" s="1"/>
      <c r="I6" s="638"/>
      <c r="J6" s="648"/>
      <c r="K6" s="2"/>
      <c r="L6" s="2"/>
      <c r="M6" s="2"/>
      <c r="N6" s="2"/>
      <c r="O6" s="2"/>
    </row>
    <row r="7" spans="1:15" ht="26.25" thickBot="1" x14ac:dyDescent="0.3">
      <c r="A7" s="6" t="s">
        <v>1534</v>
      </c>
      <c r="B7" s="4" t="s">
        <v>1533</v>
      </c>
      <c r="C7" s="4" t="s">
        <v>8</v>
      </c>
      <c r="D7" s="7" t="s">
        <v>9</v>
      </c>
      <c r="E7" s="4" t="s">
        <v>10</v>
      </c>
      <c r="F7" s="7" t="s">
        <v>11</v>
      </c>
      <c r="G7" s="8" t="s">
        <v>12</v>
      </c>
      <c r="H7" s="8" t="s">
        <v>1532</v>
      </c>
      <c r="I7" s="640" t="s">
        <v>6</v>
      </c>
      <c r="J7" s="650" t="s">
        <v>7</v>
      </c>
      <c r="K7" s="10" t="s">
        <v>13</v>
      </c>
      <c r="L7" s="10" t="s">
        <v>14</v>
      </c>
      <c r="M7" s="10" t="s">
        <v>15</v>
      </c>
      <c r="N7" s="5" t="s">
        <v>16</v>
      </c>
      <c r="O7" s="812"/>
    </row>
    <row r="8" spans="1:15" ht="18.75" x14ac:dyDescent="0.3">
      <c r="A8" s="245"/>
      <c r="B8" s="383" t="s">
        <v>1313</v>
      </c>
      <c r="C8" s="245"/>
      <c r="D8" s="245"/>
      <c r="E8" s="245"/>
      <c r="F8" s="29"/>
      <c r="G8" s="29"/>
      <c r="H8" s="505"/>
      <c r="I8" s="641" t="s">
        <v>1613</v>
      </c>
      <c r="J8" s="651" t="s">
        <v>1614</v>
      </c>
      <c r="K8" s="12"/>
      <c r="L8" s="12"/>
      <c r="M8" s="12"/>
      <c r="N8" s="12"/>
      <c r="O8" s="812"/>
    </row>
    <row r="9" spans="1:15" x14ac:dyDescent="0.25">
      <c r="A9" s="22">
        <v>14</v>
      </c>
      <c r="B9" s="26" t="s">
        <v>1454</v>
      </c>
      <c r="C9" s="23" t="s">
        <v>90</v>
      </c>
      <c r="D9" s="23">
        <f>45*14</f>
        <v>630</v>
      </c>
      <c r="E9" s="23">
        <v>1</v>
      </c>
      <c r="F9" s="21">
        <v>800</v>
      </c>
      <c r="G9" s="25">
        <f t="shared" ref="G9:G15" si="0">D9*E9*F9</f>
        <v>504000</v>
      </c>
      <c r="H9" s="268">
        <f t="shared" ref="H9:H16" si="1">G9/589.84</f>
        <v>854.46900854469004</v>
      </c>
      <c r="I9" s="643"/>
      <c r="J9" s="652"/>
      <c r="K9" s="12"/>
      <c r="L9" s="12"/>
      <c r="M9" s="12"/>
      <c r="N9" s="524"/>
      <c r="O9" s="12"/>
    </row>
    <row r="10" spans="1:15" x14ac:dyDescent="0.25">
      <c r="A10" s="22">
        <v>15</v>
      </c>
      <c r="B10" s="26" t="s">
        <v>1455</v>
      </c>
      <c r="C10" s="23" t="s">
        <v>90</v>
      </c>
      <c r="D10" s="23">
        <f>15*14</f>
        <v>210</v>
      </c>
      <c r="E10" s="23">
        <v>1</v>
      </c>
      <c r="F10" s="21">
        <v>800</v>
      </c>
      <c r="G10" s="25">
        <f t="shared" si="0"/>
        <v>168000</v>
      </c>
      <c r="H10" s="268">
        <f t="shared" si="1"/>
        <v>284.82300284823003</v>
      </c>
      <c r="I10" s="643"/>
      <c r="J10" s="652"/>
      <c r="K10" s="12"/>
      <c r="L10" s="12"/>
      <c r="M10" s="12"/>
      <c r="N10" s="524"/>
      <c r="O10" s="12"/>
    </row>
    <row r="11" spans="1:15" x14ac:dyDescent="0.25">
      <c r="A11" s="22">
        <v>16</v>
      </c>
      <c r="B11" s="26" t="s">
        <v>1456</v>
      </c>
      <c r="C11" s="23" t="s">
        <v>90</v>
      </c>
      <c r="D11" s="23">
        <f>15*14</f>
        <v>210</v>
      </c>
      <c r="E11" s="23">
        <v>1</v>
      </c>
      <c r="F11" s="21">
        <v>800</v>
      </c>
      <c r="G11" s="25">
        <f t="shared" si="0"/>
        <v>168000</v>
      </c>
      <c r="H11" s="268">
        <f>G11/589.84</f>
        <v>284.82300284823003</v>
      </c>
      <c r="I11" s="643"/>
      <c r="J11" s="652"/>
      <c r="K11" s="12"/>
      <c r="L11" s="12"/>
      <c r="M11" s="12"/>
      <c r="N11" s="524"/>
      <c r="O11" s="12"/>
    </row>
    <row r="12" spans="1:15" x14ac:dyDescent="0.25">
      <c r="A12" s="22">
        <v>17</v>
      </c>
      <c r="B12" s="26" t="s">
        <v>1457</v>
      </c>
      <c r="C12" s="23" t="s">
        <v>90</v>
      </c>
      <c r="D12" s="23">
        <f>15*14</f>
        <v>210</v>
      </c>
      <c r="E12" s="23">
        <v>1</v>
      </c>
      <c r="F12" s="21">
        <v>800</v>
      </c>
      <c r="G12" s="25">
        <f t="shared" si="0"/>
        <v>168000</v>
      </c>
      <c r="H12" s="268">
        <f t="shared" ref="H12:H13" si="2">G12/589.84</f>
        <v>284.82300284823003</v>
      </c>
      <c r="I12" s="643"/>
      <c r="J12" s="652"/>
      <c r="K12" s="12"/>
      <c r="L12" s="12"/>
      <c r="M12" s="12"/>
      <c r="N12" s="524"/>
      <c r="O12" s="12"/>
    </row>
    <row r="13" spans="1:15" x14ac:dyDescent="0.25">
      <c r="A13" s="22">
        <v>18</v>
      </c>
      <c r="B13" s="26" t="s">
        <v>1458</v>
      </c>
      <c r="C13" s="23" t="s">
        <v>90</v>
      </c>
      <c r="D13" s="23">
        <f>15*14</f>
        <v>210</v>
      </c>
      <c r="E13" s="23">
        <v>1</v>
      </c>
      <c r="F13" s="21">
        <v>800</v>
      </c>
      <c r="G13" s="25">
        <f t="shared" si="0"/>
        <v>168000</v>
      </c>
      <c r="H13" s="268">
        <f t="shared" si="2"/>
        <v>284.82300284823003</v>
      </c>
      <c r="I13" s="643"/>
      <c r="J13" s="652"/>
      <c r="K13" s="12"/>
      <c r="L13" s="12"/>
      <c r="M13" s="12"/>
      <c r="N13" s="524"/>
      <c r="O13" s="12"/>
    </row>
    <row r="14" spans="1:15" s="48" customFormat="1" x14ac:dyDescent="0.25">
      <c r="A14" s="17">
        <v>19</v>
      </c>
      <c r="B14" s="26" t="s">
        <v>1404</v>
      </c>
      <c r="C14" s="19" t="s">
        <v>1286</v>
      </c>
      <c r="D14" s="19">
        <v>2</v>
      </c>
      <c r="E14" s="19">
        <v>2</v>
      </c>
      <c r="F14" s="21">
        <f>11000+1000</f>
        <v>12000</v>
      </c>
      <c r="G14" s="28">
        <f t="shared" si="0"/>
        <v>48000</v>
      </c>
      <c r="H14" s="415">
        <f t="shared" si="1"/>
        <v>81.378000813780005</v>
      </c>
      <c r="I14" s="643"/>
      <c r="J14" s="652"/>
      <c r="K14" s="12"/>
      <c r="L14" s="12"/>
      <c r="M14" s="12"/>
      <c r="N14" s="524"/>
      <c r="O14" s="12"/>
    </row>
    <row r="15" spans="1:15" ht="28.5" x14ac:dyDescent="0.25">
      <c r="A15" s="666">
        <v>20</v>
      </c>
      <c r="B15" s="662" t="s">
        <v>1405</v>
      </c>
      <c r="C15" s="663" t="s">
        <v>90</v>
      </c>
      <c r="D15" s="663">
        <f>300*10</f>
        <v>3000</v>
      </c>
      <c r="E15" s="663"/>
      <c r="F15" s="664">
        <v>1000</v>
      </c>
      <c r="G15" s="665">
        <f t="shared" si="0"/>
        <v>0</v>
      </c>
      <c r="H15" s="268">
        <f t="shared" si="1"/>
        <v>0</v>
      </c>
      <c r="I15" s="643"/>
      <c r="J15" s="652"/>
      <c r="K15" s="12"/>
      <c r="L15" s="12"/>
      <c r="M15" s="12"/>
      <c r="N15" s="524"/>
      <c r="O15" s="12"/>
    </row>
    <row r="16" spans="1:15" x14ac:dyDescent="0.25">
      <c r="A16" s="818" t="s">
        <v>1615</v>
      </c>
      <c r="B16" s="819"/>
      <c r="C16" s="820"/>
      <c r="D16" s="658">
        <f>SUM(D9:D15)</f>
        <v>4472</v>
      </c>
      <c r="E16" s="658"/>
      <c r="F16" s="667"/>
      <c r="G16" s="637">
        <f>SUM(G9:G15)</f>
        <v>1224000</v>
      </c>
      <c r="H16" s="268">
        <f t="shared" si="1"/>
        <v>2075.13902075139</v>
      </c>
      <c r="I16" s="642"/>
      <c r="J16" s="652"/>
      <c r="K16" s="12"/>
      <c r="L16" s="12"/>
      <c r="M16" s="12"/>
      <c r="N16" s="524"/>
      <c r="O16" s="10"/>
    </row>
    <row r="17" spans="1:15" ht="36" x14ac:dyDescent="0.25">
      <c r="A17" s="22"/>
      <c r="B17" s="383" t="s">
        <v>1318</v>
      </c>
      <c r="C17" s="23"/>
      <c r="D17" s="23"/>
      <c r="E17" s="23"/>
      <c r="F17" s="21"/>
      <c r="G17" s="25"/>
      <c r="H17" s="268"/>
      <c r="I17" s="642"/>
      <c r="J17" s="652"/>
      <c r="K17" s="12"/>
      <c r="L17" s="12"/>
      <c r="M17" s="12"/>
      <c r="N17" s="524"/>
      <c r="O17" s="10"/>
    </row>
    <row r="18" spans="1:15" ht="28.5" x14ac:dyDescent="0.25">
      <c r="A18" s="22">
        <v>4</v>
      </c>
      <c r="B18" s="26" t="s">
        <v>1504</v>
      </c>
      <c r="C18" s="23" t="s">
        <v>90</v>
      </c>
      <c r="D18" s="23">
        <v>600</v>
      </c>
      <c r="E18" s="23">
        <v>1</v>
      </c>
      <c r="F18" s="25">
        <v>800</v>
      </c>
      <c r="G18" s="346">
        <f t="shared" ref="G18:G19" si="3">D18*E18*F18</f>
        <v>480000</v>
      </c>
      <c r="H18" s="509">
        <f t="shared" ref="H18:H20" si="4">G18/589.84</f>
        <v>813.7800081378</v>
      </c>
      <c r="I18" s="644">
        <v>0</v>
      </c>
      <c r="J18" s="644">
        <v>0</v>
      </c>
      <c r="K18" s="500"/>
      <c r="L18" s="500"/>
      <c r="M18" s="500"/>
      <c r="N18" s="521"/>
      <c r="O18" s="12"/>
    </row>
    <row r="19" spans="1:15" x14ac:dyDescent="0.25">
      <c r="A19" s="22">
        <v>5</v>
      </c>
      <c r="B19" s="26" t="s">
        <v>1503</v>
      </c>
      <c r="C19" s="23" t="s">
        <v>90</v>
      </c>
      <c r="D19" s="23">
        <v>650</v>
      </c>
      <c r="E19" s="23">
        <v>1</v>
      </c>
      <c r="F19" s="25">
        <v>800</v>
      </c>
      <c r="G19" s="346">
        <f t="shared" si="3"/>
        <v>520000</v>
      </c>
      <c r="H19" s="509">
        <f t="shared" si="4"/>
        <v>881.59500881595</v>
      </c>
      <c r="I19" s="644">
        <v>0</v>
      </c>
      <c r="J19" s="644">
        <v>0</v>
      </c>
      <c r="K19" s="500"/>
      <c r="L19" s="500"/>
      <c r="M19" s="500"/>
      <c r="N19" s="521"/>
      <c r="O19" s="12"/>
    </row>
    <row r="20" spans="1:15" x14ac:dyDescent="0.25">
      <c r="A20" s="818" t="s">
        <v>1615</v>
      </c>
      <c r="B20" s="819"/>
      <c r="C20" s="820"/>
      <c r="D20" s="658">
        <f>SUM(D18:D19)</f>
        <v>1250</v>
      </c>
      <c r="E20" s="658"/>
      <c r="F20" s="667"/>
      <c r="G20" s="637">
        <f>SUM(G18:G19)</f>
        <v>1000000</v>
      </c>
      <c r="H20" s="268">
        <f t="shared" si="4"/>
        <v>1695.37501695375</v>
      </c>
      <c r="I20" s="642"/>
      <c r="J20" s="652"/>
      <c r="K20" s="12"/>
      <c r="L20" s="12"/>
      <c r="M20" s="12"/>
      <c r="N20" s="524"/>
      <c r="O20" s="10"/>
    </row>
    <row r="21" spans="1:15" ht="18" x14ac:dyDescent="0.25">
      <c r="A21" s="17"/>
      <c r="B21" s="18" t="s">
        <v>1618</v>
      </c>
      <c r="C21" s="19"/>
      <c r="D21" s="20"/>
      <c r="E21" s="19"/>
      <c r="F21" s="21"/>
      <c r="G21" s="21"/>
      <c r="H21"/>
      <c r="I21" s="643"/>
      <c r="J21" s="652"/>
      <c r="K21" s="12"/>
      <c r="L21" s="12"/>
      <c r="M21" s="12"/>
      <c r="N21" s="524"/>
      <c r="O21" s="12"/>
    </row>
    <row r="22" spans="1:15" ht="16.5" thickBot="1" x14ac:dyDescent="0.3">
      <c r="A22" s="387">
        <v>18</v>
      </c>
      <c r="B22" s="26" t="s">
        <v>286</v>
      </c>
      <c r="C22" s="388" t="s">
        <v>90</v>
      </c>
      <c r="D22" s="388">
        <v>630</v>
      </c>
      <c r="E22" s="388">
        <v>1</v>
      </c>
      <c r="F22" s="25">
        <v>800</v>
      </c>
      <c r="G22" s="25">
        <f t="shared" ref="G22" si="5">D22*E22*F22</f>
        <v>504000</v>
      </c>
      <c r="H22" s="510">
        <f t="shared" ref="H22:H23" si="6">G22/589.84</f>
        <v>854.46900854469004</v>
      </c>
      <c r="I22" s="643"/>
      <c r="J22" s="652"/>
      <c r="K22" s="12"/>
      <c r="L22" s="12"/>
      <c r="M22" s="12"/>
      <c r="N22" s="524"/>
      <c r="O22" s="12"/>
    </row>
    <row r="23" spans="1:15" x14ac:dyDescent="0.25">
      <c r="A23" s="818" t="s">
        <v>1615</v>
      </c>
      <c r="B23" s="819"/>
      <c r="C23" s="820"/>
      <c r="D23" s="658">
        <f>SUM(D21:D22)</f>
        <v>630</v>
      </c>
      <c r="E23" s="658"/>
      <c r="F23" s="667"/>
      <c r="G23" s="637">
        <f>SUM(G21:G22)</f>
        <v>504000</v>
      </c>
      <c r="H23" s="268">
        <f t="shared" si="6"/>
        <v>854.46900854469004</v>
      </c>
      <c r="I23" s="642"/>
      <c r="J23" s="652"/>
      <c r="K23" s="12"/>
      <c r="L23" s="12"/>
      <c r="M23" s="12"/>
      <c r="N23" s="524"/>
      <c r="O23" s="10"/>
    </row>
    <row r="24" spans="1:15" ht="18" x14ac:dyDescent="0.25">
      <c r="A24" s="17"/>
      <c r="B24" s="18" t="s">
        <v>1322</v>
      </c>
      <c r="C24" s="19"/>
      <c r="D24" s="20"/>
      <c r="E24" s="19"/>
      <c r="F24" s="21"/>
      <c r="G24" s="668"/>
      <c r="H24"/>
      <c r="I24" s="644"/>
      <c r="J24" s="653"/>
      <c r="K24" s="500"/>
      <c r="L24" s="500"/>
      <c r="M24" s="500"/>
      <c r="N24" s="521"/>
      <c r="O24" s="12"/>
    </row>
    <row r="25" spans="1:15" x14ac:dyDescent="0.25">
      <c r="A25" s="22"/>
      <c r="B25" s="26" t="s">
        <v>1591</v>
      </c>
      <c r="C25" s="23" t="s">
        <v>17</v>
      </c>
      <c r="D25" s="72">
        <v>120</v>
      </c>
      <c r="E25" s="72">
        <v>1</v>
      </c>
      <c r="F25" s="28">
        <v>800</v>
      </c>
      <c r="G25" s="28">
        <f>D25*E25*F25</f>
        <v>96000</v>
      </c>
      <c r="H25" s="509">
        <f t="shared" ref="H25:H27" si="7">G25/589.84</f>
        <v>162.75600162756001</v>
      </c>
      <c r="I25" s="644"/>
      <c r="J25" s="653"/>
      <c r="K25" s="500"/>
      <c r="L25" s="500"/>
      <c r="M25" s="500"/>
      <c r="N25" s="521"/>
      <c r="O25" s="12"/>
    </row>
    <row r="26" spans="1:15" x14ac:dyDescent="0.25">
      <c r="A26" s="22">
        <v>19</v>
      </c>
      <c r="B26" s="26" t="s">
        <v>1604</v>
      </c>
      <c r="C26" s="23" t="s">
        <v>28</v>
      </c>
      <c r="D26" s="23">
        <f>600+100</f>
        <v>700</v>
      </c>
      <c r="E26" s="23">
        <v>1</v>
      </c>
      <c r="F26" s="28">
        <v>800</v>
      </c>
      <c r="G26" s="28">
        <f t="shared" ref="G26" si="8">D26*E26*F26</f>
        <v>560000</v>
      </c>
      <c r="H26" s="509">
        <f t="shared" si="7"/>
        <v>949.4100094941</v>
      </c>
      <c r="I26" s="644"/>
      <c r="J26" s="653"/>
      <c r="K26" s="500"/>
      <c r="L26" s="500"/>
      <c r="M26" s="500"/>
      <c r="N26" s="521"/>
      <c r="O26" s="12"/>
    </row>
    <row r="27" spans="1:15" x14ac:dyDescent="0.25">
      <c r="A27" s="818" t="s">
        <v>1615</v>
      </c>
      <c r="B27" s="819"/>
      <c r="C27" s="820"/>
      <c r="D27" s="658">
        <f>SUM(D25:D26)</f>
        <v>820</v>
      </c>
      <c r="E27" s="658"/>
      <c r="F27" s="667"/>
      <c r="G27" s="637">
        <f>SUM(G25:G26)</f>
        <v>656000</v>
      </c>
      <c r="H27" s="268">
        <f t="shared" si="7"/>
        <v>1112.1660111216599</v>
      </c>
      <c r="I27" s="642"/>
      <c r="J27" s="652"/>
      <c r="K27" s="12"/>
      <c r="L27" s="12"/>
      <c r="M27" s="12"/>
      <c r="N27" s="524"/>
      <c r="O27" s="10"/>
    </row>
    <row r="28" spans="1:15" ht="18" x14ac:dyDescent="0.25">
      <c r="A28" s="17"/>
      <c r="B28" s="18" t="s">
        <v>1620</v>
      </c>
      <c r="C28" s="19"/>
      <c r="D28" s="20"/>
      <c r="E28" s="19"/>
      <c r="F28" s="21"/>
      <c r="G28" s="21"/>
      <c r="H28"/>
      <c r="I28" s="643"/>
      <c r="J28" s="652"/>
      <c r="K28" s="12"/>
      <c r="L28" s="12"/>
      <c r="M28" s="12"/>
      <c r="N28" s="524"/>
      <c r="O28" s="12"/>
    </row>
    <row r="29" spans="1:15" ht="18" x14ac:dyDescent="0.25">
      <c r="A29" s="17"/>
      <c r="B29" s="205" t="s">
        <v>1568</v>
      </c>
      <c r="C29" s="23"/>
      <c r="D29" s="200"/>
      <c r="E29" s="23"/>
      <c r="F29" s="25"/>
      <c r="G29" s="25"/>
      <c r="H29" s="509"/>
      <c r="I29" s="643"/>
      <c r="J29" s="652"/>
      <c r="K29" s="12"/>
      <c r="L29" s="12"/>
      <c r="M29" s="12"/>
      <c r="N29" s="524"/>
      <c r="O29" s="12"/>
    </row>
    <row r="30" spans="1:15" x14ac:dyDescent="0.25">
      <c r="A30" s="22">
        <v>5</v>
      </c>
      <c r="B30" s="26" t="s">
        <v>294</v>
      </c>
      <c r="C30" s="23" t="s">
        <v>90</v>
      </c>
      <c r="D30" s="23">
        <v>650</v>
      </c>
      <c r="E30" s="23">
        <v>1</v>
      </c>
      <c r="F30" s="25">
        <v>800</v>
      </c>
      <c r="G30" s="25">
        <f t="shared" ref="G30:G31" si="9">D30*E30*F30</f>
        <v>520000</v>
      </c>
      <c r="H30" s="509">
        <f t="shared" ref="H30:H33" si="10">G30/589.84</f>
        <v>881.59500881595</v>
      </c>
      <c r="I30" s="642">
        <f t="shared" ref="I30:I31" si="11">G30*0.03</f>
        <v>15600</v>
      </c>
      <c r="J30" s="642">
        <f t="shared" ref="J30:J31" si="12">1050*D30</f>
        <v>682500</v>
      </c>
      <c r="K30" s="642">
        <f t="shared" ref="K30:K31" si="13">G30/D30</f>
        <v>800</v>
      </c>
      <c r="L30" s="12"/>
      <c r="M30" s="12"/>
      <c r="N30" s="524"/>
      <c r="O30" s="12"/>
    </row>
    <row r="31" spans="1:15" x14ac:dyDescent="0.25">
      <c r="A31" s="22">
        <v>6</v>
      </c>
      <c r="B31" s="26" t="s">
        <v>295</v>
      </c>
      <c r="C31" s="23" t="s">
        <v>90</v>
      </c>
      <c r="D31" s="23">
        <v>500</v>
      </c>
      <c r="E31" s="23">
        <v>1</v>
      </c>
      <c r="F31" s="25">
        <v>800</v>
      </c>
      <c r="G31" s="25">
        <f t="shared" si="9"/>
        <v>400000</v>
      </c>
      <c r="H31" s="509">
        <f t="shared" si="10"/>
        <v>678.1500067815</v>
      </c>
      <c r="I31" s="642">
        <f t="shared" si="11"/>
        <v>12000</v>
      </c>
      <c r="J31" s="642">
        <f t="shared" si="12"/>
        <v>525000</v>
      </c>
      <c r="K31" s="642">
        <f t="shared" si="13"/>
        <v>800</v>
      </c>
      <c r="L31" s="12"/>
      <c r="M31" s="12"/>
      <c r="N31" s="524"/>
      <c r="O31" s="12"/>
    </row>
    <row r="32" spans="1:15" ht="28.5" x14ac:dyDescent="0.25">
      <c r="A32" s="22">
        <v>10</v>
      </c>
      <c r="B32" s="26" t="s">
        <v>299</v>
      </c>
      <c r="C32" s="23" t="s">
        <v>90</v>
      </c>
      <c r="D32" s="23">
        <v>700</v>
      </c>
      <c r="E32" s="23">
        <v>1</v>
      </c>
      <c r="F32" s="25">
        <v>800</v>
      </c>
      <c r="G32" s="25">
        <f>D32*E32*F32</f>
        <v>560000</v>
      </c>
      <c r="H32" s="509">
        <f t="shared" si="10"/>
        <v>949.4100094941</v>
      </c>
      <c r="I32" s="643"/>
      <c r="J32" s="655"/>
      <c r="K32" s="613"/>
      <c r="L32" s="12"/>
      <c r="M32" s="12"/>
      <c r="N32" s="524"/>
      <c r="O32" s="12"/>
    </row>
    <row r="33" spans="1:15" x14ac:dyDescent="0.25">
      <c r="A33" s="818" t="s">
        <v>1615</v>
      </c>
      <c r="B33" s="819"/>
      <c r="C33" s="820"/>
      <c r="D33" s="658">
        <f>SUM(D31:D32)</f>
        <v>1200</v>
      </c>
      <c r="E33" s="658"/>
      <c r="F33" s="667"/>
      <c r="G33" s="637">
        <f>SUM(G31:G32)</f>
        <v>960000</v>
      </c>
      <c r="H33" s="268">
        <f t="shared" si="10"/>
        <v>1627.5600162756</v>
      </c>
      <c r="I33" s="642"/>
      <c r="J33" s="652"/>
      <c r="K33" s="12"/>
      <c r="L33" s="12"/>
      <c r="M33" s="12"/>
      <c r="N33" s="524"/>
      <c r="O33" s="10"/>
    </row>
    <row r="34" spans="1:15" ht="18" x14ac:dyDescent="0.25">
      <c r="A34" s="17"/>
      <c r="B34" s="205" t="s">
        <v>1326</v>
      </c>
      <c r="C34" s="23"/>
      <c r="D34" s="200"/>
      <c r="E34" s="23"/>
      <c r="F34" s="25"/>
      <c r="G34" s="25"/>
      <c r="H34" s="509"/>
      <c r="I34" s="643"/>
      <c r="J34" s="652"/>
      <c r="K34" s="12"/>
      <c r="L34" s="12"/>
      <c r="M34" s="12"/>
      <c r="N34" s="524"/>
      <c r="O34" s="12"/>
    </row>
    <row r="35" spans="1:15" x14ac:dyDescent="0.25">
      <c r="A35" s="22">
        <v>2</v>
      </c>
      <c r="B35" s="26" t="s">
        <v>88</v>
      </c>
      <c r="C35" s="23" t="s">
        <v>90</v>
      </c>
      <c r="D35" s="23">
        <v>1500</v>
      </c>
      <c r="E35" s="200">
        <v>1</v>
      </c>
      <c r="F35" s="25">
        <v>800</v>
      </c>
      <c r="G35" s="25">
        <f t="shared" ref="G35" si="14">D35*E35*F35</f>
        <v>1200000</v>
      </c>
      <c r="H35" s="346">
        <f t="shared" ref="H35:H36" si="15">G35/589.84</f>
        <v>2034.4500203445</v>
      </c>
      <c r="I35" s="643"/>
      <c r="J35" s="655"/>
      <c r="K35" s="613"/>
      <c r="L35" s="12"/>
      <c r="M35" s="12"/>
      <c r="N35" s="524"/>
      <c r="O35" s="12"/>
    </row>
    <row r="36" spans="1:15" x14ac:dyDescent="0.25">
      <c r="A36" s="818" t="s">
        <v>1615</v>
      </c>
      <c r="B36" s="819"/>
      <c r="C36" s="820"/>
      <c r="D36" s="658">
        <f>SUM(D34:D35)</f>
        <v>1500</v>
      </c>
      <c r="E36" s="658"/>
      <c r="F36" s="667"/>
      <c r="G36" s="637">
        <f>SUM(G34:G35)</f>
        <v>1200000</v>
      </c>
      <c r="H36" s="268">
        <f t="shared" si="15"/>
        <v>2034.4500203445</v>
      </c>
      <c r="I36" s="642"/>
      <c r="J36" s="652"/>
      <c r="K36" s="12"/>
      <c r="L36" s="12"/>
      <c r="M36" s="12"/>
      <c r="N36" s="524"/>
      <c r="O36" s="10"/>
    </row>
    <row r="37" spans="1:15" ht="18" x14ac:dyDescent="0.25">
      <c r="A37" s="17"/>
      <c r="B37" s="18" t="s">
        <v>1328</v>
      </c>
      <c r="C37" s="19"/>
      <c r="D37" s="20"/>
      <c r="E37" s="19"/>
      <c r="F37" s="21"/>
      <c r="G37" s="21"/>
      <c r="H37"/>
      <c r="I37" s="644"/>
      <c r="J37" s="653"/>
      <c r="K37" s="500"/>
      <c r="L37" s="500"/>
      <c r="M37" s="500"/>
      <c r="N37" s="521"/>
      <c r="O37" s="12"/>
    </row>
    <row r="38" spans="1:15" x14ac:dyDescent="0.25">
      <c r="A38" s="22">
        <v>4</v>
      </c>
      <c r="B38" s="26" t="s">
        <v>306</v>
      </c>
      <c r="C38" s="23" t="s">
        <v>90</v>
      </c>
      <c r="D38" s="23">
        <v>50</v>
      </c>
      <c r="E38" s="23">
        <v>2</v>
      </c>
      <c r="F38" s="28">
        <v>800</v>
      </c>
      <c r="G38" s="28">
        <f>D38*E38*F38</f>
        <v>80000</v>
      </c>
      <c r="H38" s="509">
        <f t="shared" ref="H38:H40" si="16">G38/589.84</f>
        <v>135.6300013563</v>
      </c>
      <c r="I38" s="644"/>
      <c r="J38" s="653"/>
      <c r="K38" s="500"/>
      <c r="L38" s="500"/>
      <c r="M38" s="500"/>
      <c r="N38" s="521"/>
      <c r="O38" s="12"/>
    </row>
    <row r="39" spans="1:15" x14ac:dyDescent="0.25">
      <c r="A39" s="22">
        <v>5</v>
      </c>
      <c r="B39" s="26" t="s">
        <v>307</v>
      </c>
      <c r="C39" s="23" t="s">
        <v>90</v>
      </c>
      <c r="D39" s="23">
        <v>50</v>
      </c>
      <c r="E39" s="23">
        <v>3</v>
      </c>
      <c r="F39" s="28">
        <v>800</v>
      </c>
      <c r="G39" s="28">
        <f t="shared" ref="G39" si="17">D39*E39*F39</f>
        <v>120000</v>
      </c>
      <c r="H39" s="509">
        <f t="shared" si="16"/>
        <v>203.44500203445</v>
      </c>
      <c r="I39" s="644"/>
      <c r="J39" s="653"/>
      <c r="K39" s="500"/>
      <c r="L39" s="500"/>
      <c r="M39" s="500"/>
      <c r="N39" s="521"/>
      <c r="O39" s="12"/>
    </row>
    <row r="40" spans="1:15" x14ac:dyDescent="0.25">
      <c r="A40" s="818" t="s">
        <v>1615</v>
      </c>
      <c r="B40" s="819"/>
      <c r="C40" s="820"/>
      <c r="D40" s="658">
        <f>SUM(D38:D39)</f>
        <v>100</v>
      </c>
      <c r="E40" s="658"/>
      <c r="F40" s="667"/>
      <c r="G40" s="637">
        <f>SUM(G38:G39)</f>
        <v>200000</v>
      </c>
      <c r="H40" s="268">
        <f t="shared" si="16"/>
        <v>339.07500339075</v>
      </c>
      <c r="I40" s="642"/>
      <c r="J40" s="652"/>
      <c r="K40" s="12"/>
      <c r="L40" s="12"/>
      <c r="M40" s="12"/>
      <c r="N40" s="524"/>
      <c r="O40" s="10"/>
    </row>
    <row r="41" spans="1:15" x14ac:dyDescent="0.25">
      <c r="A41" s="666" t="s">
        <v>1621</v>
      </c>
      <c r="B41" s="662"/>
      <c r="C41" s="663"/>
      <c r="D41" s="674"/>
      <c r="E41" s="663"/>
      <c r="F41" s="665"/>
      <c r="G41" s="675"/>
      <c r="H41" s="509"/>
      <c r="I41" s="644"/>
      <c r="J41" s="653"/>
      <c r="K41" s="500"/>
      <c r="L41" s="500"/>
      <c r="M41" s="500"/>
      <c r="N41" s="521"/>
      <c r="O41" s="12"/>
    </row>
    <row r="42" spans="1:15" ht="16.5" thickBot="1" x14ac:dyDescent="0.3">
      <c r="A42" s="22"/>
      <c r="B42" s="26"/>
      <c r="C42" s="19"/>
      <c r="D42" s="24"/>
      <c r="E42" s="23"/>
      <c r="F42" s="25"/>
      <c r="G42" s="346"/>
      <c r="H42" s="510"/>
      <c r="I42" s="644"/>
      <c r="J42" s="653"/>
      <c r="K42" s="500"/>
      <c r="L42" s="500"/>
      <c r="M42" s="500"/>
      <c r="N42" s="521"/>
      <c r="O42" s="12"/>
    </row>
    <row r="43" spans="1:15" ht="27" thickBot="1" x14ac:dyDescent="0.3">
      <c r="A43" s="821" t="s">
        <v>1622</v>
      </c>
      <c r="B43" s="822"/>
      <c r="C43" s="822"/>
      <c r="D43" s="822"/>
      <c r="E43" s="822"/>
      <c r="F43" s="822"/>
      <c r="G43" s="823"/>
      <c r="H43" s="506"/>
      <c r="I43" s="644"/>
      <c r="J43" s="653"/>
      <c r="K43" s="500"/>
      <c r="L43" s="500"/>
      <c r="M43" s="500"/>
      <c r="N43" s="521"/>
      <c r="O43" s="12"/>
    </row>
    <row r="44" spans="1:15" ht="18" x14ac:dyDescent="0.25">
      <c r="A44" s="233"/>
      <c r="B44" s="234" t="s">
        <v>450</v>
      </c>
      <c r="C44" s="234"/>
      <c r="D44" s="463"/>
      <c r="E44" s="234"/>
      <c r="F44" s="234"/>
      <c r="G44" s="234"/>
      <c r="H44" s="234"/>
      <c r="I44" s="12"/>
      <c r="J44" s="12"/>
      <c r="K44" s="12"/>
      <c r="L44" s="12"/>
      <c r="M44" s="12"/>
      <c r="N44" s="12"/>
      <c r="O44" s="500"/>
    </row>
    <row r="45" spans="1:15" x14ac:dyDescent="0.25">
      <c r="A45" s="22">
        <v>2</v>
      </c>
      <c r="B45" s="26" t="s">
        <v>1294</v>
      </c>
      <c r="C45" s="23" t="s">
        <v>30</v>
      </c>
      <c r="D45" s="19">
        <f>74*3*10</f>
        <v>2220</v>
      </c>
      <c r="E45" s="23">
        <v>1</v>
      </c>
      <c r="F45" s="25">
        <v>850</v>
      </c>
      <c r="G45" s="227">
        <f t="shared" ref="G45:G52" si="18">D45*E45*F45</f>
        <v>1887000</v>
      </c>
      <c r="H45" s="268">
        <f t="shared" ref="H45:H53" si="19">G45/589.84</f>
        <v>3199.1726569917264</v>
      </c>
      <c r="I45" s="12"/>
      <c r="J45" s="12"/>
      <c r="K45" s="12"/>
      <c r="L45" s="12"/>
      <c r="M45" s="12"/>
      <c r="N45" s="12"/>
      <c r="O45" s="500"/>
    </row>
    <row r="46" spans="1:15" x14ac:dyDescent="0.25">
      <c r="A46" s="22">
        <v>4</v>
      </c>
      <c r="B46" s="26" t="s">
        <v>1296</v>
      </c>
      <c r="C46" s="23" t="s">
        <v>30</v>
      </c>
      <c r="D46" s="23">
        <f>12*3*10</f>
        <v>360</v>
      </c>
      <c r="E46" s="23">
        <v>1</v>
      </c>
      <c r="F46" s="25">
        <v>850</v>
      </c>
      <c r="G46" s="227">
        <f t="shared" si="18"/>
        <v>306000</v>
      </c>
      <c r="H46" s="268">
        <f t="shared" si="19"/>
        <v>518.78475518784751</v>
      </c>
      <c r="I46" s="12"/>
      <c r="J46" s="12"/>
      <c r="K46" s="12"/>
      <c r="L46" s="12"/>
      <c r="M46" s="12"/>
      <c r="N46" s="12"/>
      <c r="O46" s="500"/>
    </row>
    <row r="47" spans="1:15" x14ac:dyDescent="0.25">
      <c r="A47" s="22">
        <v>5</v>
      </c>
      <c r="B47" s="26" t="s">
        <v>1297</v>
      </c>
      <c r="C47" s="23" t="s">
        <v>84</v>
      </c>
      <c r="D47" s="23">
        <v>5</v>
      </c>
      <c r="E47" s="23">
        <v>0</v>
      </c>
      <c r="F47" s="25">
        <v>75000</v>
      </c>
      <c r="G47" s="227">
        <f t="shared" si="18"/>
        <v>0</v>
      </c>
      <c r="H47" s="268">
        <f t="shared" si="19"/>
        <v>0</v>
      </c>
      <c r="I47" s="12"/>
      <c r="J47" s="12"/>
      <c r="K47" s="12"/>
      <c r="L47" s="12"/>
      <c r="M47" s="12"/>
      <c r="N47" s="12"/>
      <c r="O47" s="500"/>
    </row>
    <row r="48" spans="1:15" x14ac:dyDescent="0.25">
      <c r="A48" s="22">
        <v>6</v>
      </c>
      <c r="B48" s="26" t="s">
        <v>1298</v>
      </c>
      <c r="C48" s="23" t="s">
        <v>29</v>
      </c>
      <c r="D48" s="23">
        <f>D47*100*0.2*10</f>
        <v>1000</v>
      </c>
      <c r="E48" s="23">
        <v>1</v>
      </c>
      <c r="F48" s="25">
        <v>800</v>
      </c>
      <c r="G48" s="227">
        <f t="shared" si="18"/>
        <v>800000</v>
      </c>
      <c r="H48" s="268">
        <f t="shared" si="19"/>
        <v>1356.300013563</v>
      </c>
      <c r="I48" s="12"/>
      <c r="J48" s="12"/>
      <c r="K48" s="12"/>
      <c r="L48" s="12"/>
      <c r="M48" s="12"/>
      <c r="N48" s="12"/>
      <c r="O48" s="500"/>
    </row>
    <row r="49" spans="1:15" x14ac:dyDescent="0.25">
      <c r="A49" s="22">
        <v>7</v>
      </c>
      <c r="B49" s="26" t="s">
        <v>1363</v>
      </c>
      <c r="C49" s="23" t="s">
        <v>90</v>
      </c>
      <c r="D49" s="19">
        <f>50*0.2*1*10</f>
        <v>100</v>
      </c>
      <c r="E49" s="23">
        <v>1</v>
      </c>
      <c r="F49" s="25">
        <v>800</v>
      </c>
      <c r="G49" s="227">
        <f t="shared" si="18"/>
        <v>80000</v>
      </c>
      <c r="H49" s="268">
        <f t="shared" si="19"/>
        <v>135.6300013563</v>
      </c>
      <c r="I49" s="12"/>
      <c r="J49" s="12"/>
      <c r="K49" s="12"/>
      <c r="L49" s="12"/>
      <c r="M49" s="12"/>
      <c r="N49" s="12"/>
      <c r="O49" s="500"/>
    </row>
    <row r="50" spans="1:15" x14ac:dyDescent="0.25">
      <c r="A50" s="22">
        <v>9</v>
      </c>
      <c r="B50" s="26" t="s">
        <v>1446</v>
      </c>
      <c r="C50" s="23" t="s">
        <v>30</v>
      </c>
      <c r="D50" s="19">
        <f>8*3*10</f>
        <v>240</v>
      </c>
      <c r="E50" s="23">
        <v>1</v>
      </c>
      <c r="F50" s="25">
        <v>850</v>
      </c>
      <c r="G50" s="227">
        <f t="shared" si="18"/>
        <v>204000</v>
      </c>
      <c r="H50" s="268">
        <f t="shared" si="19"/>
        <v>345.85650345856504</v>
      </c>
      <c r="I50" s="12"/>
      <c r="J50" s="12"/>
      <c r="K50" s="12"/>
      <c r="L50" s="12"/>
      <c r="M50" s="12"/>
      <c r="N50" s="12"/>
      <c r="O50" s="500"/>
    </row>
    <row r="51" spans="1:15" x14ac:dyDescent="0.25">
      <c r="A51" s="22">
        <v>10</v>
      </c>
      <c r="B51" s="26" t="s">
        <v>1300</v>
      </c>
      <c r="C51" s="23" t="s">
        <v>1301</v>
      </c>
      <c r="D51" s="23">
        <v>0</v>
      </c>
      <c r="E51" s="23">
        <v>5</v>
      </c>
      <c r="F51" s="25">
        <v>6000</v>
      </c>
      <c r="G51" s="227">
        <f t="shared" si="18"/>
        <v>0</v>
      </c>
      <c r="H51" s="268">
        <f t="shared" si="19"/>
        <v>0</v>
      </c>
      <c r="I51" s="12"/>
      <c r="J51" s="12"/>
      <c r="K51" s="12"/>
      <c r="L51" s="12"/>
      <c r="M51" s="12"/>
      <c r="N51" s="12"/>
      <c r="O51" s="500"/>
    </row>
    <row r="52" spans="1:15" x14ac:dyDescent="0.25">
      <c r="A52" s="22">
        <v>17</v>
      </c>
      <c r="B52" s="26" t="s">
        <v>1623</v>
      </c>
      <c r="C52" s="23" t="s">
        <v>29</v>
      </c>
      <c r="D52" s="23">
        <v>20</v>
      </c>
      <c r="E52" s="23">
        <v>10</v>
      </c>
      <c r="F52" s="25">
        <v>800</v>
      </c>
      <c r="G52" s="227">
        <f t="shared" si="18"/>
        <v>160000</v>
      </c>
      <c r="H52" s="268">
        <f t="shared" si="19"/>
        <v>271.2600027126</v>
      </c>
      <c r="I52" s="12"/>
      <c r="J52" s="12"/>
      <c r="K52" s="12"/>
      <c r="L52" s="12"/>
      <c r="M52" s="12"/>
      <c r="N52" s="12"/>
      <c r="O52" s="500"/>
    </row>
    <row r="53" spans="1:15" x14ac:dyDescent="0.25">
      <c r="A53" s="818" t="s">
        <v>1615</v>
      </c>
      <c r="B53" s="819"/>
      <c r="C53" s="820"/>
      <c r="D53" s="658">
        <f>SUM(D51:D52)</f>
        <v>20</v>
      </c>
      <c r="E53" s="658"/>
      <c r="F53" s="667"/>
      <c r="G53" s="637">
        <f>SUM(G51:G52)</f>
        <v>160000</v>
      </c>
      <c r="H53" s="268">
        <f t="shared" si="19"/>
        <v>271.2600027126</v>
      </c>
      <c r="I53" s="642"/>
      <c r="J53" s="652"/>
      <c r="K53" s="12"/>
      <c r="L53" s="12"/>
      <c r="M53" s="12"/>
      <c r="N53" s="524"/>
      <c r="O53" s="10"/>
    </row>
    <row r="54" spans="1:15" ht="16.5" thickBot="1" x14ac:dyDescent="0.3">
      <c r="A54" s="22"/>
      <c r="B54" s="26"/>
      <c r="C54" s="23"/>
      <c r="D54" s="23"/>
      <c r="E54" s="23"/>
      <c r="F54" s="25"/>
      <c r="G54" s="25"/>
      <c r="H54" s="510"/>
      <c r="I54" s="643"/>
      <c r="J54" s="652"/>
      <c r="K54" s="12"/>
      <c r="L54" s="12"/>
      <c r="M54" s="12"/>
      <c r="N54" s="524"/>
      <c r="O54" s="12"/>
    </row>
    <row r="55" spans="1:15" ht="16.5" thickBot="1" x14ac:dyDescent="0.3">
      <c r="A55" s="22"/>
      <c r="B55" s="27"/>
      <c r="C55" s="23"/>
      <c r="D55" s="23"/>
      <c r="E55" s="23"/>
      <c r="F55" s="25"/>
      <c r="G55" s="25"/>
      <c r="H55" s="509"/>
      <c r="I55" s="643"/>
      <c r="J55" s="652"/>
      <c r="K55" s="12"/>
      <c r="L55" s="12"/>
      <c r="M55" s="12"/>
      <c r="N55" s="524"/>
      <c r="O55" s="12"/>
    </row>
    <row r="56" spans="1:15" ht="18.75" thickBot="1" x14ac:dyDescent="0.3">
      <c r="A56" s="261"/>
      <c r="B56" s="262"/>
      <c r="C56" s="261"/>
      <c r="D56" s="261"/>
      <c r="E56" s="261"/>
      <c r="F56" s="263"/>
      <c r="G56" s="263"/>
      <c r="H56" s="506"/>
      <c r="I56" s="643"/>
      <c r="J56" s="652"/>
      <c r="K56" s="12"/>
      <c r="L56" s="12"/>
      <c r="M56" s="12"/>
      <c r="N56" s="524"/>
      <c r="O56" s="12"/>
    </row>
    <row r="57" spans="1:15" ht="18" x14ac:dyDescent="0.25">
      <c r="A57" s="17"/>
      <c r="B57" s="18"/>
      <c r="C57" s="19"/>
      <c r="D57" s="20"/>
      <c r="E57" s="19"/>
      <c r="F57" s="21"/>
      <c r="G57" s="21"/>
      <c r="H57"/>
      <c r="I57" s="643"/>
      <c r="J57" s="652"/>
      <c r="K57" s="12"/>
      <c r="L57" s="12"/>
      <c r="M57" s="12"/>
      <c r="N57" s="524"/>
      <c r="O57" s="12"/>
    </row>
    <row r="58" spans="1:15" x14ac:dyDescent="0.25">
      <c r="A58" s="22"/>
      <c r="B58" s="26"/>
      <c r="C58" s="23"/>
      <c r="D58" s="23"/>
      <c r="E58" s="23"/>
      <c r="F58" s="25"/>
      <c r="G58" s="25"/>
      <c r="H58" s="509"/>
      <c r="I58" s="643"/>
      <c r="J58" s="652"/>
      <c r="K58" s="12"/>
      <c r="L58" s="12"/>
      <c r="M58" s="12"/>
      <c r="N58" s="524"/>
      <c r="O58" s="12"/>
    </row>
    <row r="59" spans="1:15" x14ac:dyDescent="0.25">
      <c r="A59" s="22"/>
      <c r="B59" s="26"/>
      <c r="C59" s="23"/>
      <c r="D59" s="23"/>
      <c r="E59" s="23"/>
      <c r="F59" s="25"/>
      <c r="G59" s="25"/>
      <c r="H59" s="509"/>
      <c r="I59" s="643"/>
      <c r="J59" s="652"/>
      <c r="K59" s="12"/>
      <c r="L59" s="12"/>
      <c r="M59" s="12"/>
      <c r="N59" s="524"/>
      <c r="O59" s="12"/>
    </row>
    <row r="60" spans="1:15" x14ac:dyDescent="0.25">
      <c r="A60" s="22"/>
      <c r="B60" s="26"/>
      <c r="C60" s="23"/>
      <c r="D60" s="23"/>
      <c r="E60" s="23"/>
      <c r="F60" s="25"/>
      <c r="G60" s="25"/>
      <c r="H60" s="509"/>
      <c r="I60" s="643"/>
      <c r="J60" s="652"/>
      <c r="K60" s="12"/>
      <c r="L60" s="12"/>
      <c r="M60" s="12"/>
      <c r="N60" s="524"/>
      <c r="O60" s="12"/>
    </row>
    <row r="61" spans="1:15" x14ac:dyDescent="0.25">
      <c r="A61" s="22"/>
      <c r="B61" s="26"/>
      <c r="C61" s="23"/>
      <c r="D61" s="23"/>
      <c r="E61" s="23"/>
      <c r="F61" s="25"/>
      <c r="G61" s="25"/>
      <c r="H61" s="509"/>
      <c r="I61" s="643"/>
      <c r="J61" s="652"/>
      <c r="K61" s="12"/>
      <c r="L61" s="12"/>
      <c r="M61" s="12"/>
      <c r="N61" s="524"/>
      <c r="O61" s="12"/>
    </row>
    <row r="62" spans="1:15" x14ac:dyDescent="0.25">
      <c r="A62" s="22"/>
      <c r="B62" s="26"/>
      <c r="C62" s="23"/>
      <c r="D62" s="23"/>
      <c r="E62" s="23"/>
      <c r="F62" s="25"/>
      <c r="G62" s="25"/>
      <c r="H62" s="509"/>
      <c r="I62" s="643"/>
      <c r="J62" s="652"/>
      <c r="K62" s="12"/>
      <c r="L62" s="12"/>
      <c r="M62" s="12"/>
      <c r="N62" s="524"/>
      <c r="O62" s="12"/>
    </row>
    <row r="63" spans="1:15" x14ac:dyDescent="0.25">
      <c r="A63" s="22"/>
      <c r="B63" s="26"/>
      <c r="C63" s="23"/>
      <c r="D63" s="23"/>
      <c r="E63" s="23"/>
      <c r="F63" s="25"/>
      <c r="G63" s="25"/>
      <c r="H63" s="509"/>
      <c r="I63" s="643"/>
      <c r="J63" s="652"/>
      <c r="K63" s="12"/>
      <c r="L63" s="12"/>
      <c r="M63" s="12"/>
      <c r="N63" s="524"/>
      <c r="O63" s="12"/>
    </row>
    <row r="64" spans="1:15" ht="16.5" thickBot="1" x14ac:dyDescent="0.3">
      <c r="A64" s="22"/>
      <c r="B64" s="26"/>
      <c r="C64" s="23"/>
      <c r="D64" s="23"/>
      <c r="E64" s="23"/>
      <c r="F64" s="25"/>
      <c r="G64" s="25"/>
      <c r="H64" s="510"/>
      <c r="I64" s="643"/>
      <c r="J64" s="652"/>
      <c r="K64" s="12"/>
      <c r="L64" s="12"/>
      <c r="M64" s="12"/>
      <c r="N64" s="524"/>
      <c r="O64" s="12"/>
    </row>
    <row r="65" spans="1:15" ht="16.5" thickBot="1" x14ac:dyDescent="0.3">
      <c r="A65" s="22"/>
      <c r="B65" s="26"/>
      <c r="C65" s="23"/>
      <c r="D65" s="23"/>
      <c r="E65" s="23"/>
      <c r="F65" s="25"/>
      <c r="G65" s="25"/>
      <c r="H65" s="510"/>
      <c r="I65" s="643"/>
      <c r="J65" s="652"/>
      <c r="K65" s="12"/>
      <c r="L65" s="12"/>
      <c r="M65" s="12"/>
      <c r="N65" s="524"/>
      <c r="O65" s="12"/>
    </row>
    <row r="66" spans="1:15" x14ac:dyDescent="0.25">
      <c r="A66" s="22"/>
      <c r="B66" s="26"/>
      <c r="C66" s="23"/>
      <c r="D66" s="23"/>
      <c r="E66" s="23"/>
      <c r="F66" s="25"/>
      <c r="G66" s="25"/>
      <c r="H66" s="512"/>
      <c r="I66" s="643"/>
      <c r="J66" s="652"/>
      <c r="K66" s="12"/>
      <c r="L66" s="12"/>
      <c r="M66" s="12"/>
      <c r="N66" s="524"/>
      <c r="O66" s="12"/>
    </row>
    <row r="67" spans="1:15" x14ac:dyDescent="0.25">
      <c r="A67" s="22"/>
      <c r="B67" s="26"/>
      <c r="C67" s="23"/>
      <c r="D67" s="23"/>
      <c r="E67" s="23"/>
      <c r="F67" s="25"/>
      <c r="G67" s="25"/>
      <c r="H67" s="509"/>
      <c r="I67" s="643"/>
      <c r="J67" s="652"/>
      <c r="K67" s="12"/>
      <c r="L67" s="12"/>
      <c r="M67" s="12"/>
      <c r="N67" s="524"/>
      <c r="O67" s="12"/>
    </row>
    <row r="68" spans="1:15" x14ac:dyDescent="0.25">
      <c r="A68" s="22"/>
      <c r="B68" s="26"/>
      <c r="C68" s="23"/>
      <c r="D68" s="23"/>
      <c r="E68" s="23"/>
      <c r="F68" s="25"/>
      <c r="G68" s="25"/>
      <c r="H68" s="509"/>
      <c r="I68" s="643"/>
      <c r="J68" s="652"/>
      <c r="K68" s="12"/>
      <c r="L68" s="12"/>
      <c r="M68" s="12"/>
      <c r="N68" s="524"/>
      <c r="O68" s="12"/>
    </row>
    <row r="69" spans="1:15" x14ac:dyDescent="0.25">
      <c r="A69" s="22"/>
      <c r="B69" s="26"/>
      <c r="C69" s="23"/>
      <c r="D69" s="23"/>
      <c r="E69" s="23"/>
      <c r="F69" s="25"/>
      <c r="G69" s="25"/>
      <c r="H69" s="509"/>
      <c r="I69" s="643"/>
      <c r="J69" s="652"/>
      <c r="K69" s="12"/>
      <c r="L69" s="12"/>
      <c r="M69" s="12"/>
      <c r="N69" s="524"/>
      <c r="O69" s="12"/>
    </row>
    <row r="70" spans="1:15" ht="16.5" thickBot="1" x14ac:dyDescent="0.3">
      <c r="A70" s="22"/>
      <c r="B70" s="26"/>
      <c r="C70" s="23"/>
      <c r="D70" s="23"/>
      <c r="E70" s="23"/>
      <c r="F70" s="25"/>
      <c r="G70" s="25"/>
      <c r="H70" s="510"/>
      <c r="I70" s="643"/>
      <c r="J70" s="652"/>
      <c r="K70" s="12"/>
      <c r="L70" s="12"/>
      <c r="M70" s="12"/>
      <c r="N70" s="524"/>
      <c r="O70" s="12"/>
    </row>
    <row r="71" spans="1:15" x14ac:dyDescent="0.25">
      <c r="A71" s="22"/>
      <c r="B71" s="26"/>
      <c r="C71" s="23"/>
      <c r="D71" s="23"/>
      <c r="E71" s="23"/>
      <c r="F71" s="25"/>
      <c r="G71" s="25"/>
      <c r="H71" s="509"/>
      <c r="I71" s="643"/>
      <c r="J71" s="652"/>
      <c r="K71" s="12"/>
      <c r="L71" s="12"/>
      <c r="M71" s="12"/>
      <c r="N71" s="524"/>
      <c r="O71" s="12"/>
    </row>
    <row r="72" spans="1:15" x14ac:dyDescent="0.25">
      <c r="A72" s="22"/>
      <c r="B72" s="26"/>
      <c r="C72" s="23"/>
      <c r="D72" s="23"/>
      <c r="E72" s="23"/>
      <c r="F72" s="25"/>
      <c r="G72" s="25"/>
      <c r="H72" s="509"/>
      <c r="I72" s="643"/>
      <c r="J72" s="652"/>
      <c r="K72" s="12"/>
      <c r="L72" s="12"/>
      <c r="M72" s="12"/>
      <c r="N72" s="524"/>
      <c r="O72" s="12"/>
    </row>
    <row r="73" spans="1:15" x14ac:dyDescent="0.25">
      <c r="A73" s="22"/>
      <c r="B73" s="26"/>
      <c r="C73" s="23"/>
      <c r="D73" s="23"/>
      <c r="E73" s="23"/>
      <c r="F73" s="25"/>
      <c r="G73" s="25"/>
      <c r="H73" s="509"/>
      <c r="I73" s="643"/>
      <c r="J73" s="652"/>
      <c r="K73" s="12"/>
      <c r="L73" s="12"/>
      <c r="M73" s="12"/>
      <c r="N73" s="524"/>
      <c r="O73" s="12"/>
    </row>
    <row r="74" spans="1:15" ht="16.5" thickBot="1" x14ac:dyDescent="0.3">
      <c r="A74" s="22"/>
      <c r="B74" s="26"/>
      <c r="C74" s="23"/>
      <c r="D74" s="23"/>
      <c r="E74" s="23"/>
      <c r="F74" s="25"/>
      <c r="G74" s="25"/>
      <c r="H74" s="510"/>
      <c r="I74" s="643"/>
      <c r="J74" s="652"/>
      <c r="K74" s="12"/>
      <c r="L74" s="12"/>
      <c r="M74" s="12"/>
      <c r="N74" s="524"/>
      <c r="O74" s="12"/>
    </row>
    <row r="75" spans="1:15" ht="16.5" thickBot="1" x14ac:dyDescent="0.3">
      <c r="A75" s="387"/>
      <c r="B75" s="26"/>
      <c r="C75" s="388"/>
      <c r="D75" s="388"/>
      <c r="E75" s="388"/>
      <c r="F75" s="25"/>
      <c r="G75" s="25"/>
      <c r="H75" s="510"/>
      <c r="I75" s="643"/>
      <c r="J75" s="652"/>
      <c r="K75" s="12"/>
      <c r="L75" s="12"/>
      <c r="M75" s="12"/>
      <c r="N75" s="524"/>
      <c r="O75" s="12"/>
    </row>
    <row r="76" spans="1:15" ht="18.75" thickBot="1" x14ac:dyDescent="0.3">
      <c r="A76" s="261"/>
      <c r="B76" s="262"/>
      <c r="C76" s="261"/>
      <c r="D76" s="261"/>
      <c r="E76" s="261"/>
      <c r="F76" s="263"/>
      <c r="G76" s="263"/>
      <c r="H76" s="506"/>
      <c r="I76" s="643"/>
      <c r="J76" s="652"/>
      <c r="K76" s="12"/>
      <c r="L76" s="12"/>
      <c r="M76" s="12"/>
      <c r="N76" s="524"/>
      <c r="O76" s="12"/>
    </row>
    <row r="77" spans="1:15" ht="18" x14ac:dyDescent="0.25">
      <c r="A77" s="17"/>
      <c r="B77" s="18"/>
      <c r="C77" s="19"/>
      <c r="D77" s="20"/>
      <c r="E77" s="19"/>
      <c r="F77" s="21"/>
      <c r="G77" s="21"/>
      <c r="H77"/>
      <c r="I77" s="644"/>
      <c r="J77" s="653"/>
      <c r="K77" s="500"/>
      <c r="L77" s="500"/>
      <c r="M77" s="500"/>
      <c r="N77" s="521"/>
      <c r="O77" s="12"/>
    </row>
    <row r="78" spans="1:15" x14ac:dyDescent="0.25">
      <c r="A78" s="22"/>
      <c r="B78" s="26"/>
      <c r="C78" s="23"/>
      <c r="D78" s="23"/>
      <c r="E78" s="23"/>
      <c r="F78" s="28"/>
      <c r="G78" s="28"/>
      <c r="H78" s="509"/>
      <c r="I78" s="644"/>
      <c r="J78" s="653"/>
      <c r="K78" s="500"/>
      <c r="L78" s="500"/>
      <c r="M78" s="500"/>
      <c r="N78" s="521"/>
      <c r="O78" s="12"/>
    </row>
    <row r="79" spans="1:15" ht="16.5" customHeight="1" x14ac:dyDescent="0.25">
      <c r="A79" s="22"/>
      <c r="B79" s="26"/>
      <c r="C79" s="23"/>
      <c r="D79" s="23"/>
      <c r="E79" s="23"/>
      <c r="F79" s="28"/>
      <c r="G79" s="28"/>
      <c r="H79" s="509"/>
      <c r="I79" s="644"/>
      <c r="J79" s="653"/>
      <c r="K79" s="500"/>
      <c r="L79" s="500"/>
      <c r="M79" s="500"/>
      <c r="N79" s="521"/>
      <c r="O79" s="12"/>
    </row>
    <row r="80" spans="1:15" x14ac:dyDescent="0.25">
      <c r="A80" s="22"/>
      <c r="B80" s="26"/>
      <c r="C80" s="23"/>
      <c r="D80" s="23"/>
      <c r="E80" s="23"/>
      <c r="F80" s="28"/>
      <c r="G80" s="28"/>
      <c r="H80" s="509"/>
      <c r="I80" s="644"/>
      <c r="J80" s="653"/>
      <c r="K80" s="500"/>
      <c r="L80" s="500"/>
      <c r="M80" s="500"/>
      <c r="N80" s="521"/>
      <c r="O80" s="12"/>
    </row>
    <row r="81" spans="1:15" x14ac:dyDescent="0.25">
      <c r="A81" s="22"/>
      <c r="B81" s="26"/>
      <c r="C81" s="23"/>
      <c r="D81" s="23"/>
      <c r="E81" s="23"/>
      <c r="F81" s="28"/>
      <c r="G81" s="28"/>
      <c r="H81" s="509"/>
      <c r="I81" s="644"/>
      <c r="J81" s="653"/>
      <c r="K81" s="500"/>
      <c r="L81" s="500"/>
      <c r="M81" s="500"/>
      <c r="N81" s="521"/>
      <c r="O81" s="12"/>
    </row>
    <row r="82" spans="1:15" x14ac:dyDescent="0.25">
      <c r="A82" s="22"/>
      <c r="B82" s="26"/>
      <c r="C82" s="23"/>
      <c r="D82" s="23"/>
      <c r="E82" s="23"/>
      <c r="F82" s="28"/>
      <c r="G82" s="28"/>
      <c r="H82" s="509"/>
      <c r="I82" s="644"/>
      <c r="J82" s="653"/>
      <c r="K82" s="500"/>
      <c r="L82" s="500"/>
      <c r="M82" s="500"/>
      <c r="N82" s="521"/>
      <c r="O82" s="12"/>
    </row>
    <row r="83" spans="1:15" x14ac:dyDescent="0.25">
      <c r="A83" s="22"/>
      <c r="B83" s="26"/>
      <c r="C83" s="23"/>
      <c r="D83" s="23"/>
      <c r="E83" s="23"/>
      <c r="F83" s="28"/>
      <c r="G83" s="28"/>
      <c r="H83" s="509"/>
      <c r="I83" s="644"/>
      <c r="J83" s="653"/>
      <c r="K83" s="500"/>
      <c r="L83" s="500"/>
      <c r="M83" s="500"/>
      <c r="N83" s="521"/>
      <c r="O83" s="12"/>
    </row>
    <row r="84" spans="1:15" x14ac:dyDescent="0.25">
      <c r="A84" s="22"/>
      <c r="B84" s="26"/>
      <c r="C84" s="23"/>
      <c r="D84" s="23"/>
      <c r="E84" s="23"/>
      <c r="F84" s="28"/>
      <c r="G84" s="28"/>
      <c r="H84" s="509"/>
      <c r="I84" s="644"/>
      <c r="J84" s="653"/>
      <c r="K84" s="500"/>
      <c r="L84" s="500"/>
      <c r="M84" s="500"/>
      <c r="N84" s="521"/>
      <c r="O84" s="12"/>
    </row>
    <row r="85" spans="1:15" ht="16.5" thickBot="1" x14ac:dyDescent="0.3">
      <c r="A85" s="22"/>
      <c r="B85" s="26"/>
      <c r="C85" s="23"/>
      <c r="D85" s="23"/>
      <c r="E85" s="23"/>
      <c r="F85" s="28"/>
      <c r="G85" s="28"/>
      <c r="H85" s="510"/>
      <c r="I85" s="644"/>
      <c r="J85" s="653"/>
      <c r="K85" s="500"/>
      <c r="L85" s="500"/>
      <c r="M85" s="500"/>
      <c r="N85" s="521"/>
      <c r="O85" s="12"/>
    </row>
    <row r="86" spans="1:15" x14ac:dyDescent="0.25">
      <c r="A86" s="22"/>
      <c r="B86" s="26"/>
      <c r="C86" s="23"/>
      <c r="D86" s="23"/>
      <c r="E86" s="23"/>
      <c r="F86" s="28"/>
      <c r="G86" s="28"/>
      <c r="H86" s="512"/>
      <c r="I86" s="644"/>
      <c r="J86" s="653"/>
      <c r="K86" s="500"/>
      <c r="L86" s="500"/>
      <c r="M86" s="500"/>
      <c r="N86" s="521"/>
      <c r="O86" s="12"/>
    </row>
    <row r="87" spans="1:15" x14ac:dyDescent="0.25">
      <c r="A87" s="22"/>
      <c r="B87" s="26"/>
      <c r="C87" s="23"/>
      <c r="D87" s="23"/>
      <c r="E87" s="23"/>
      <c r="F87" s="28"/>
      <c r="G87" s="28"/>
      <c r="H87" s="512"/>
      <c r="I87" s="644"/>
      <c r="J87" s="653"/>
      <c r="K87" s="500"/>
      <c r="L87" s="500"/>
      <c r="M87" s="500"/>
      <c r="N87" s="521"/>
      <c r="O87" s="12"/>
    </row>
    <row r="88" spans="1:15" x14ac:dyDescent="0.25">
      <c r="A88" s="22"/>
      <c r="B88" s="26"/>
      <c r="C88" s="23"/>
      <c r="D88" s="23"/>
      <c r="E88" s="23"/>
      <c r="F88" s="28"/>
      <c r="G88" s="28"/>
      <c r="H88" s="509"/>
      <c r="I88" s="644"/>
      <c r="J88" s="653"/>
      <c r="K88" s="500"/>
      <c r="L88" s="500"/>
      <c r="M88" s="500"/>
      <c r="N88" s="521"/>
      <c r="O88" s="12"/>
    </row>
    <row r="89" spans="1:15" x14ac:dyDescent="0.25">
      <c r="A89" s="22"/>
      <c r="B89" s="26"/>
      <c r="C89" s="23"/>
      <c r="D89" s="23"/>
      <c r="E89" s="23"/>
      <c r="F89" s="28"/>
      <c r="G89" s="28"/>
      <c r="H89" s="509"/>
      <c r="I89" s="644"/>
      <c r="J89" s="653"/>
      <c r="K89" s="500"/>
      <c r="L89" s="500"/>
      <c r="M89" s="500"/>
      <c r="N89" s="521"/>
      <c r="O89" s="12"/>
    </row>
    <row r="90" spans="1:15" x14ac:dyDescent="0.25">
      <c r="A90" s="22"/>
      <c r="B90" s="26"/>
      <c r="C90" s="23"/>
      <c r="D90" s="23"/>
      <c r="E90" s="23"/>
      <c r="F90" s="28"/>
      <c r="G90" s="28"/>
      <c r="H90" s="509"/>
      <c r="I90" s="644"/>
      <c r="J90" s="653"/>
      <c r="K90" s="500"/>
      <c r="L90" s="500"/>
      <c r="M90" s="500"/>
      <c r="N90" s="521"/>
      <c r="O90" s="12"/>
    </row>
    <row r="91" spans="1:15" ht="16.5" thickBot="1" x14ac:dyDescent="0.3">
      <c r="A91" s="22"/>
      <c r="B91" s="26"/>
      <c r="C91" s="23"/>
      <c r="D91" s="23"/>
      <c r="E91" s="23"/>
      <c r="F91" s="28"/>
      <c r="G91" s="28"/>
      <c r="H91" s="510"/>
      <c r="I91" s="644"/>
      <c r="J91" s="653"/>
      <c r="K91" s="500"/>
      <c r="L91" s="500"/>
      <c r="M91" s="500"/>
      <c r="N91" s="521"/>
      <c r="O91" s="12"/>
    </row>
    <row r="92" spans="1:15" x14ac:dyDescent="0.25">
      <c r="A92" s="22"/>
      <c r="B92" s="26"/>
      <c r="C92" s="23"/>
      <c r="D92" s="23"/>
      <c r="E92" s="23"/>
      <c r="F92" s="28"/>
      <c r="G92" s="28"/>
      <c r="H92" s="512"/>
      <c r="I92" s="644"/>
      <c r="J92" s="653"/>
      <c r="K92" s="500"/>
      <c r="L92" s="500"/>
      <c r="M92" s="500"/>
      <c r="N92" s="521"/>
      <c r="O92" s="12"/>
    </row>
    <row r="93" spans="1:15" x14ac:dyDescent="0.25">
      <c r="A93" s="22"/>
      <c r="B93" s="26"/>
      <c r="C93" s="23"/>
      <c r="D93" s="23"/>
      <c r="E93" s="23"/>
      <c r="F93" s="28"/>
      <c r="G93" s="28"/>
      <c r="H93" s="512"/>
      <c r="I93" s="644"/>
      <c r="J93" s="653"/>
      <c r="K93" s="500"/>
      <c r="L93" s="500"/>
      <c r="M93" s="500"/>
      <c r="N93" s="521"/>
      <c r="O93" s="12"/>
    </row>
    <row r="94" spans="1:15" x14ac:dyDescent="0.25">
      <c r="A94" s="22"/>
      <c r="B94" s="26"/>
      <c r="C94" s="23"/>
      <c r="D94" s="23"/>
      <c r="E94" s="23"/>
      <c r="F94" s="28"/>
      <c r="G94" s="28"/>
      <c r="H94" s="512"/>
      <c r="I94" s="644"/>
      <c r="J94" s="653"/>
      <c r="K94" s="500"/>
      <c r="L94" s="500"/>
      <c r="M94" s="500"/>
      <c r="N94" s="521"/>
      <c r="O94" s="12"/>
    </row>
    <row r="95" spans="1:15" x14ac:dyDescent="0.25">
      <c r="A95" s="22"/>
      <c r="B95" s="26"/>
      <c r="C95" s="23"/>
      <c r="D95" s="72"/>
      <c r="E95" s="72"/>
      <c r="F95" s="28"/>
      <c r="G95" s="28"/>
      <c r="H95" s="509"/>
      <c r="I95" s="644"/>
      <c r="J95" s="653"/>
      <c r="K95" s="500"/>
      <c r="L95" s="500"/>
      <c r="M95" s="500"/>
      <c r="N95" s="521"/>
      <c r="O95" s="12"/>
    </row>
    <row r="96" spans="1:15" x14ac:dyDescent="0.25">
      <c r="A96" s="22"/>
      <c r="B96" s="26"/>
      <c r="C96" s="23"/>
      <c r="D96" s="72"/>
      <c r="E96" s="72"/>
      <c r="F96" s="28"/>
      <c r="G96" s="28"/>
      <c r="H96" s="509"/>
      <c r="I96" s="644"/>
      <c r="J96" s="653"/>
      <c r="K96" s="500"/>
      <c r="L96" s="500"/>
      <c r="M96" s="500"/>
      <c r="N96" s="521"/>
      <c r="O96" s="12"/>
    </row>
    <row r="97" spans="1:15" x14ac:dyDescent="0.25">
      <c r="A97" s="22"/>
      <c r="B97" s="26"/>
      <c r="C97" s="23"/>
      <c r="D97" s="72"/>
      <c r="E97" s="72"/>
      <c r="F97" s="28"/>
      <c r="G97" s="28"/>
      <c r="H97" s="509"/>
      <c r="I97" s="644"/>
      <c r="J97" s="653"/>
      <c r="K97" s="500"/>
      <c r="L97" s="500"/>
      <c r="M97" s="500"/>
      <c r="N97" s="521"/>
      <c r="O97" s="12"/>
    </row>
    <row r="98" spans="1:15" x14ac:dyDescent="0.25">
      <c r="A98" s="22"/>
      <c r="B98" s="26"/>
      <c r="C98" s="23"/>
      <c r="D98" s="23"/>
      <c r="E98" s="23"/>
      <c r="F98" s="28"/>
      <c r="G98" s="28"/>
      <c r="H98" s="509"/>
      <c r="I98" s="644"/>
      <c r="J98" s="653"/>
      <c r="K98" s="500"/>
      <c r="L98" s="500"/>
      <c r="M98" s="500"/>
      <c r="N98" s="521"/>
      <c r="O98" s="12"/>
    </row>
    <row r="99" spans="1:15" ht="16.5" thickBot="1" x14ac:dyDescent="0.3">
      <c r="A99" s="22"/>
      <c r="B99" s="26"/>
      <c r="C99" s="23"/>
      <c r="D99" s="72"/>
      <c r="E99" s="72"/>
      <c r="F99" s="28"/>
      <c r="G99" s="28"/>
      <c r="H99" s="510"/>
      <c r="I99" s="645"/>
      <c r="J99" s="654"/>
      <c r="K99" s="10"/>
      <c r="L99" s="10"/>
      <c r="M99" s="5"/>
      <c r="N99" s="519"/>
      <c r="O99" s="12"/>
    </row>
    <row r="100" spans="1:15" ht="16.5" thickBot="1" x14ac:dyDescent="0.3">
      <c r="A100" s="22"/>
      <c r="B100" s="26"/>
      <c r="C100" s="23"/>
      <c r="D100" s="23"/>
      <c r="E100" s="23"/>
      <c r="F100" s="28"/>
      <c r="G100" s="28"/>
      <c r="H100" s="510"/>
      <c r="I100" s="643"/>
      <c r="J100" s="652"/>
      <c r="K100" s="12"/>
      <c r="L100" s="12"/>
      <c r="M100" s="12"/>
      <c r="N100" s="524"/>
      <c r="O100" s="12"/>
    </row>
    <row r="101" spans="1:15" ht="18.75" thickBot="1" x14ac:dyDescent="0.3">
      <c r="A101" s="261"/>
      <c r="B101" s="262"/>
      <c r="C101" s="261"/>
      <c r="D101" s="261"/>
      <c r="E101" s="261"/>
      <c r="F101" s="263"/>
      <c r="G101" s="263"/>
      <c r="H101" s="506"/>
      <c r="I101" s="643"/>
      <c r="J101" s="652"/>
      <c r="K101" s="12"/>
      <c r="L101" s="12"/>
      <c r="M101" s="12"/>
      <c r="N101" s="524"/>
      <c r="O101" s="12"/>
    </row>
    <row r="102" spans="1:15" ht="18.75" thickBot="1" x14ac:dyDescent="0.3">
      <c r="A102" s="69"/>
      <c r="B102" s="18"/>
      <c r="C102" s="19"/>
      <c r="D102" s="20"/>
      <c r="E102" s="19"/>
      <c r="F102" s="21"/>
      <c r="G102" s="21"/>
      <c r="H102"/>
      <c r="I102" s="644"/>
      <c r="J102" s="653"/>
      <c r="K102" s="500"/>
      <c r="L102" s="500"/>
      <c r="M102" s="500"/>
      <c r="N102" s="521"/>
      <c r="O102" s="12"/>
    </row>
    <row r="103" spans="1:15" ht="16.5" thickBot="1" x14ac:dyDescent="0.3">
      <c r="A103" s="69"/>
      <c r="B103" s="26"/>
      <c r="C103" s="19"/>
      <c r="D103" s="20"/>
      <c r="E103" s="19"/>
      <c r="F103" s="21"/>
      <c r="G103" s="385"/>
      <c r="H103" s="508"/>
      <c r="I103" s="644"/>
      <c r="J103" s="653"/>
      <c r="K103" s="500"/>
      <c r="L103" s="500"/>
      <c r="M103" s="500"/>
      <c r="N103" s="521"/>
      <c r="O103" s="12"/>
    </row>
    <row r="104" spans="1:15" x14ac:dyDescent="0.25">
      <c r="A104" s="22"/>
      <c r="B104" s="26"/>
      <c r="C104" s="19"/>
      <c r="D104" s="19"/>
      <c r="E104" s="19"/>
      <c r="F104" s="25"/>
      <c r="G104" s="385"/>
      <c r="H104" s="508"/>
      <c r="I104" s="644"/>
      <c r="J104" s="653"/>
      <c r="K104" s="500"/>
      <c r="L104" s="500"/>
      <c r="M104" s="500"/>
      <c r="N104" s="521"/>
      <c r="O104" s="12"/>
    </row>
    <row r="105" spans="1:15" x14ac:dyDescent="0.25">
      <c r="A105" s="22"/>
      <c r="B105" s="26"/>
      <c r="C105" s="19"/>
      <c r="D105" s="23"/>
      <c r="E105" s="23"/>
      <c r="F105" s="25"/>
      <c r="G105" s="346"/>
      <c r="H105" s="509"/>
      <c r="I105" s="644"/>
      <c r="J105" s="653"/>
      <c r="K105" s="500"/>
      <c r="L105" s="500"/>
      <c r="M105" s="500"/>
      <c r="N105" s="521"/>
      <c r="O105" s="12"/>
    </row>
    <row r="106" spans="1:15" x14ac:dyDescent="0.25">
      <c r="A106" s="22"/>
      <c r="B106" s="26"/>
      <c r="C106" s="19"/>
      <c r="D106" s="23"/>
      <c r="E106" s="23"/>
      <c r="F106" s="25"/>
      <c r="G106" s="346"/>
      <c r="H106" s="509"/>
      <c r="I106" s="644"/>
      <c r="J106" s="653"/>
      <c r="K106" s="500"/>
      <c r="L106" s="500"/>
      <c r="M106" s="500"/>
      <c r="N106" s="521"/>
      <c r="O106" s="12"/>
    </row>
    <row r="107" spans="1:15" x14ac:dyDescent="0.25">
      <c r="A107" s="22"/>
      <c r="B107" s="26"/>
      <c r="C107" s="19"/>
      <c r="D107" s="23"/>
      <c r="E107" s="23"/>
      <c r="F107" s="25"/>
      <c r="G107" s="346"/>
      <c r="H107" s="509"/>
      <c r="I107" s="644"/>
      <c r="J107" s="653"/>
      <c r="K107" s="500"/>
      <c r="L107" s="500"/>
      <c r="M107" s="500"/>
      <c r="N107" s="521"/>
      <c r="O107" s="12"/>
    </row>
    <row r="108" spans="1:15" x14ac:dyDescent="0.25">
      <c r="A108" s="22"/>
      <c r="B108" s="26"/>
      <c r="C108" s="19"/>
      <c r="D108" s="23"/>
      <c r="E108" s="23"/>
      <c r="F108" s="25"/>
      <c r="G108" s="346"/>
      <c r="H108" s="509"/>
      <c r="I108" s="644"/>
      <c r="J108" s="653"/>
      <c r="K108" s="500"/>
      <c r="L108" s="500"/>
      <c r="M108" s="500"/>
      <c r="N108" s="521"/>
      <c r="O108" s="12"/>
    </row>
    <row r="109" spans="1:15" x14ac:dyDescent="0.25">
      <c r="A109" s="22"/>
      <c r="B109" s="26"/>
      <c r="C109" s="19"/>
      <c r="D109" s="634"/>
      <c r="E109" s="23"/>
      <c r="F109" s="25"/>
      <c r="G109" s="346"/>
      <c r="H109" s="509"/>
      <c r="I109" s="644"/>
      <c r="J109" s="653"/>
      <c r="K109" s="500"/>
      <c r="L109" s="500"/>
      <c r="M109" s="500"/>
      <c r="N109" s="521"/>
      <c r="O109" s="12"/>
    </row>
    <row r="110" spans="1:15" x14ac:dyDescent="0.25">
      <c r="A110" s="22"/>
      <c r="B110" s="26"/>
      <c r="C110" s="19"/>
      <c r="D110" s="23"/>
      <c r="E110" s="23"/>
      <c r="F110" s="25"/>
      <c r="G110" s="346"/>
      <c r="H110" s="509"/>
      <c r="I110" s="644"/>
      <c r="J110" s="653"/>
      <c r="K110" s="500"/>
      <c r="L110" s="500"/>
      <c r="M110" s="500"/>
      <c r="N110" s="521"/>
      <c r="O110" s="12"/>
    </row>
    <row r="111" spans="1:15" x14ac:dyDescent="0.25">
      <c r="A111" s="22"/>
      <c r="B111" s="26"/>
      <c r="C111" s="19"/>
      <c r="D111" s="23"/>
      <c r="E111" s="23"/>
      <c r="F111" s="25"/>
      <c r="G111" s="346"/>
      <c r="H111" s="509"/>
      <c r="I111" s="644"/>
      <c r="J111" s="653"/>
      <c r="K111" s="500"/>
      <c r="L111" s="500"/>
      <c r="M111" s="500"/>
      <c r="N111" s="521"/>
      <c r="O111" s="12"/>
    </row>
    <row r="112" spans="1:15" x14ac:dyDescent="0.25">
      <c r="A112" s="22"/>
      <c r="B112" s="26"/>
      <c r="C112" s="19"/>
      <c r="D112" s="23"/>
      <c r="E112" s="23"/>
      <c r="F112" s="25"/>
      <c r="G112" s="346"/>
      <c r="H112" s="509"/>
      <c r="I112" s="644"/>
      <c r="J112" s="653"/>
      <c r="K112" s="500"/>
      <c r="L112" s="500"/>
      <c r="M112" s="500"/>
      <c r="N112" s="521"/>
      <c r="O112" s="12"/>
    </row>
    <row r="113" spans="1:15" x14ac:dyDescent="0.25">
      <c r="A113" s="22"/>
      <c r="B113" s="26"/>
      <c r="C113" s="19"/>
      <c r="D113" s="23"/>
      <c r="E113" s="23"/>
      <c r="F113" s="25"/>
      <c r="G113" s="346"/>
      <c r="H113" s="509"/>
      <c r="I113" s="644"/>
      <c r="J113" s="653"/>
      <c r="K113" s="500"/>
      <c r="L113" s="500"/>
      <c r="M113" s="500"/>
      <c r="N113" s="521"/>
      <c r="O113" s="12"/>
    </row>
    <row r="114" spans="1:15" x14ac:dyDescent="0.25">
      <c r="A114" s="22"/>
      <c r="B114" s="26"/>
      <c r="C114" s="19"/>
      <c r="D114" s="23"/>
      <c r="E114" s="23"/>
      <c r="F114" s="25"/>
      <c r="G114" s="346"/>
      <c r="H114" s="509"/>
      <c r="I114" s="644"/>
      <c r="J114" s="653"/>
      <c r="K114" s="500"/>
      <c r="L114" s="500"/>
      <c r="M114" s="500"/>
      <c r="N114" s="521"/>
      <c r="O114" s="12"/>
    </row>
    <row r="115" spans="1:15" x14ac:dyDescent="0.25">
      <c r="A115" s="22"/>
      <c r="B115" s="26"/>
      <c r="C115" s="19"/>
      <c r="D115" s="23"/>
      <c r="E115" s="23"/>
      <c r="F115" s="25"/>
      <c r="G115" s="346"/>
      <c r="H115" s="509"/>
      <c r="I115" s="644"/>
      <c r="J115" s="653"/>
      <c r="K115" s="500"/>
      <c r="L115" s="500"/>
      <c r="M115" s="500"/>
      <c r="N115" s="521"/>
      <c r="O115" s="12"/>
    </row>
    <row r="116" spans="1:15" x14ac:dyDescent="0.25">
      <c r="A116" s="22"/>
      <c r="B116" s="26"/>
      <c r="C116" s="19"/>
      <c r="D116" s="23"/>
      <c r="E116" s="23"/>
      <c r="F116" s="25"/>
      <c r="G116" s="346"/>
      <c r="H116" s="509"/>
      <c r="I116" s="644"/>
      <c r="J116" s="653"/>
      <c r="K116" s="500"/>
      <c r="L116" s="500"/>
      <c r="M116" s="500"/>
      <c r="N116" s="521"/>
      <c r="O116" s="12"/>
    </row>
    <row r="117" spans="1:15" ht="16.5" thickBot="1" x14ac:dyDescent="0.3">
      <c r="A117" s="22"/>
      <c r="B117" s="26"/>
      <c r="C117" s="19"/>
      <c r="D117" s="23"/>
      <c r="E117" s="23"/>
      <c r="F117" s="25"/>
      <c r="G117" s="346"/>
      <c r="H117" s="509"/>
      <c r="I117" s="644"/>
      <c r="J117" s="653"/>
      <c r="K117" s="500"/>
      <c r="L117" s="500"/>
      <c r="M117" s="500"/>
      <c r="N117" s="521"/>
      <c r="O117" s="12"/>
    </row>
    <row r="118" spans="1:15" ht="18.75" thickBot="1" x14ac:dyDescent="0.3">
      <c r="A118" s="261"/>
      <c r="B118" s="262"/>
      <c r="C118" s="261"/>
      <c r="D118" s="261"/>
      <c r="E118" s="261"/>
      <c r="F118" s="263"/>
      <c r="G118" s="263"/>
      <c r="H118" s="506"/>
      <c r="I118" s="644"/>
      <c r="J118" s="653"/>
      <c r="K118" s="500"/>
      <c r="L118" s="500"/>
      <c r="M118" s="500"/>
      <c r="N118" s="521"/>
      <c r="O118" s="12"/>
    </row>
    <row r="119" spans="1:15" ht="18.75" thickBot="1" x14ac:dyDescent="0.3">
      <c r="A119" s="17"/>
      <c r="B119" s="18"/>
      <c r="C119" s="19"/>
      <c r="D119" s="20"/>
      <c r="E119" s="19"/>
      <c r="F119" s="21"/>
      <c r="G119" s="21"/>
      <c r="H119"/>
      <c r="I119" s="643"/>
      <c r="J119" s="652"/>
      <c r="K119" s="12"/>
      <c r="L119" s="12"/>
      <c r="M119" s="12"/>
      <c r="N119" s="524"/>
      <c r="O119" s="12"/>
    </row>
    <row r="120" spans="1:15" ht="16.5" thickBot="1" x14ac:dyDescent="0.3">
      <c r="A120" s="22"/>
      <c r="B120" s="26"/>
      <c r="C120" s="19"/>
      <c r="D120" s="20"/>
      <c r="E120" s="19"/>
      <c r="F120" s="21"/>
      <c r="G120" s="25"/>
      <c r="H120" s="513"/>
      <c r="I120" s="643"/>
      <c r="J120" s="652"/>
      <c r="K120" s="12"/>
      <c r="L120" s="12"/>
      <c r="M120" s="12"/>
      <c r="N120" s="524"/>
      <c r="O120" s="12"/>
    </row>
    <row r="121" spans="1:15" ht="16.5" thickBot="1" x14ac:dyDescent="0.3">
      <c r="A121" s="22"/>
      <c r="B121" s="26"/>
      <c r="C121" s="23"/>
      <c r="D121" s="470"/>
      <c r="E121" s="430"/>
      <c r="F121" s="25"/>
      <c r="G121" s="25"/>
      <c r="H121" s="513"/>
      <c r="I121" s="643"/>
      <c r="J121" s="652"/>
      <c r="K121" s="12"/>
      <c r="L121" s="12"/>
      <c r="M121" s="12"/>
      <c r="N121" s="524"/>
      <c r="O121" s="12"/>
    </row>
    <row r="122" spans="1:15" ht="16.5" thickBot="1" x14ac:dyDescent="0.3">
      <c r="A122" s="22"/>
      <c r="B122" s="26"/>
      <c r="C122" s="23"/>
      <c r="D122" s="470"/>
      <c r="E122" s="430"/>
      <c r="F122" s="25"/>
      <c r="G122" s="25"/>
      <c r="H122" s="513"/>
      <c r="I122" s="643"/>
      <c r="J122" s="652"/>
      <c r="K122" s="12"/>
      <c r="L122" s="12"/>
      <c r="M122" s="12"/>
      <c r="N122" s="524"/>
      <c r="O122" s="12"/>
    </row>
    <row r="123" spans="1:15" ht="16.5" thickBot="1" x14ac:dyDescent="0.3">
      <c r="A123" s="22"/>
      <c r="B123" s="26"/>
      <c r="C123" s="23"/>
      <c r="D123" s="470"/>
      <c r="E123" s="430"/>
      <c r="F123" s="25"/>
      <c r="G123" s="25"/>
      <c r="H123" s="513"/>
      <c r="I123" s="643"/>
      <c r="J123" s="652"/>
      <c r="K123" s="12"/>
      <c r="L123" s="12"/>
      <c r="M123" s="12"/>
      <c r="N123" s="524"/>
      <c r="O123" s="12"/>
    </row>
    <row r="124" spans="1:15" x14ac:dyDescent="0.25">
      <c r="A124" s="22"/>
      <c r="B124" s="26"/>
      <c r="C124" s="23"/>
      <c r="D124" s="470"/>
      <c r="E124" s="430"/>
      <c r="F124" s="25"/>
      <c r="G124" s="25"/>
      <c r="H124" s="513"/>
      <c r="I124" s="643"/>
      <c r="J124" s="652"/>
      <c r="K124" s="12"/>
      <c r="L124" s="12"/>
      <c r="M124" s="12"/>
      <c r="N124" s="524"/>
      <c r="O124" s="12"/>
    </row>
    <row r="125" spans="1:15" ht="16.149999999999999" customHeight="1" x14ac:dyDescent="0.25">
      <c r="A125" s="22"/>
      <c r="B125" s="26"/>
      <c r="C125" s="23"/>
      <c r="D125" s="470"/>
      <c r="E125" s="23"/>
      <c r="F125" s="25"/>
      <c r="G125" s="25"/>
      <c r="H125" s="514"/>
      <c r="I125" s="643"/>
      <c r="J125" s="652"/>
      <c r="K125" s="12"/>
      <c r="L125" s="12"/>
      <c r="M125" s="12"/>
      <c r="N125" s="524"/>
      <c r="O125" s="12"/>
    </row>
    <row r="126" spans="1:15" x14ac:dyDescent="0.25">
      <c r="A126" s="22"/>
      <c r="B126" s="26"/>
      <c r="C126" s="23"/>
      <c r="D126" s="470"/>
      <c r="E126" s="23"/>
      <c r="F126" s="25"/>
      <c r="G126" s="25"/>
      <c r="H126" s="514"/>
      <c r="I126" s="643"/>
      <c r="J126" s="652"/>
      <c r="K126" s="12"/>
      <c r="L126" s="12"/>
      <c r="M126" s="12"/>
      <c r="N126" s="524"/>
      <c r="O126" s="12"/>
    </row>
    <row r="127" spans="1:15" x14ac:dyDescent="0.25">
      <c r="A127" s="22"/>
      <c r="B127" s="27"/>
      <c r="C127" s="23"/>
      <c r="D127" s="470"/>
      <c r="E127" s="23"/>
      <c r="F127" s="25"/>
      <c r="G127" s="25"/>
      <c r="H127" s="514"/>
      <c r="I127" s="643"/>
      <c r="J127" s="652"/>
      <c r="K127" s="12"/>
      <c r="L127" s="12"/>
      <c r="M127" s="12"/>
      <c r="N127" s="524"/>
      <c r="O127" s="12"/>
    </row>
    <row r="128" spans="1:15" x14ac:dyDescent="0.25">
      <c r="A128" s="22"/>
      <c r="B128" s="27"/>
      <c r="C128" s="23"/>
      <c r="D128" s="470"/>
      <c r="E128" s="23"/>
      <c r="F128" s="25"/>
      <c r="G128" s="25"/>
      <c r="H128" s="514"/>
      <c r="I128" s="643"/>
      <c r="J128" s="652"/>
      <c r="K128" s="12"/>
      <c r="L128" s="12"/>
      <c r="M128" s="12"/>
      <c r="N128" s="524"/>
      <c r="O128" s="12"/>
    </row>
    <row r="129" spans="1:15" x14ac:dyDescent="0.25">
      <c r="A129" s="22"/>
      <c r="B129" s="354"/>
      <c r="C129" s="469"/>
      <c r="D129" s="200"/>
      <c r="E129" s="469"/>
      <c r="F129" s="472"/>
      <c r="G129" s="472"/>
      <c r="H129" s="512"/>
      <c r="I129" s="643"/>
      <c r="J129" s="652"/>
      <c r="K129" s="12"/>
      <c r="L129" s="12"/>
      <c r="M129" s="12"/>
      <c r="N129" s="524"/>
      <c r="O129" s="12"/>
    </row>
    <row r="130" spans="1:15" x14ac:dyDescent="0.25">
      <c r="A130" s="387"/>
      <c r="B130" s="467"/>
      <c r="C130" s="23"/>
      <c r="D130" s="470"/>
      <c r="E130" s="388"/>
      <c r="F130" s="471"/>
      <c r="G130" s="424"/>
      <c r="H130" s="512"/>
      <c r="I130" s="643"/>
      <c r="J130" s="652"/>
      <c r="K130" s="12"/>
      <c r="L130" s="12"/>
      <c r="M130" s="12"/>
      <c r="N130" s="524"/>
      <c r="O130" s="12"/>
    </row>
    <row r="131" spans="1:15" x14ac:dyDescent="0.25">
      <c r="A131" s="387"/>
      <c r="B131" s="467"/>
      <c r="C131" s="388"/>
      <c r="D131" s="496"/>
      <c r="E131" s="388"/>
      <c r="F131" s="471"/>
      <c r="G131" s="424"/>
      <c r="H131" s="512"/>
      <c r="I131" s="643"/>
      <c r="J131" s="652"/>
      <c r="K131" s="12"/>
      <c r="L131" s="12"/>
      <c r="M131" s="12"/>
      <c r="N131" s="524"/>
      <c r="O131" s="12"/>
    </row>
    <row r="132" spans="1:15" x14ac:dyDescent="0.25">
      <c r="A132" s="387"/>
      <c r="B132" s="467"/>
      <c r="C132" s="388"/>
      <c r="D132" s="635"/>
      <c r="E132" s="388"/>
      <c r="F132" s="471"/>
      <c r="G132" s="424"/>
      <c r="H132" s="512"/>
      <c r="I132" s="643"/>
      <c r="J132" s="652"/>
      <c r="K132" s="12"/>
      <c r="L132" s="12"/>
      <c r="M132" s="12"/>
      <c r="N132" s="524"/>
      <c r="O132" s="12"/>
    </row>
    <row r="133" spans="1:15" x14ac:dyDescent="0.25">
      <c r="A133" s="387"/>
      <c r="B133" s="22"/>
      <c r="C133" s="388"/>
      <c r="D133" s="496"/>
      <c r="E133" s="388"/>
      <c r="F133" s="25"/>
      <c r="G133" s="25"/>
      <c r="H133" s="509"/>
      <c r="I133" s="643"/>
      <c r="J133" s="652"/>
      <c r="K133" s="12"/>
      <c r="L133" s="12"/>
      <c r="M133" s="12"/>
      <c r="N133" s="524"/>
      <c r="O133" s="12"/>
    </row>
    <row r="134" spans="1:15" x14ac:dyDescent="0.25">
      <c r="A134" s="387"/>
      <c r="B134" s="22"/>
      <c r="C134" s="388"/>
      <c r="D134" s="496"/>
      <c r="E134" s="388"/>
      <c r="F134" s="25"/>
      <c r="G134" s="25"/>
      <c r="H134" s="509"/>
      <c r="I134" s="643"/>
      <c r="J134" s="652"/>
      <c r="K134" s="12"/>
      <c r="L134" s="12"/>
      <c r="M134" s="12"/>
      <c r="N134" s="524"/>
      <c r="O134" s="12"/>
    </row>
    <row r="135" spans="1:15" x14ac:dyDescent="0.25">
      <c r="A135" s="387"/>
      <c r="B135" s="22"/>
      <c r="C135" s="388"/>
      <c r="D135" s="496"/>
      <c r="E135" s="388"/>
      <c r="F135" s="25"/>
      <c r="G135" s="25"/>
      <c r="H135" s="509"/>
      <c r="I135" s="643"/>
      <c r="J135" s="652"/>
      <c r="K135" s="12"/>
      <c r="L135" s="12"/>
      <c r="M135" s="12"/>
      <c r="N135" s="524"/>
      <c r="O135" s="12"/>
    </row>
    <row r="136" spans="1:15" x14ac:dyDescent="0.25">
      <c r="A136" s="387"/>
      <c r="B136" s="22"/>
      <c r="C136" s="388"/>
      <c r="D136" s="496"/>
      <c r="E136" s="388"/>
      <c r="F136" s="25"/>
      <c r="G136" s="25"/>
      <c r="H136" s="509"/>
      <c r="I136" s="643"/>
      <c r="J136" s="652"/>
      <c r="K136" s="12"/>
      <c r="L136" s="12"/>
      <c r="M136" s="12"/>
      <c r="N136" s="524"/>
      <c r="O136" s="12"/>
    </row>
    <row r="137" spans="1:15" x14ac:dyDescent="0.25">
      <c r="A137" s="387"/>
      <c r="B137" s="387"/>
      <c r="C137" s="388"/>
      <c r="D137" s="496"/>
      <c r="E137" s="388"/>
      <c r="F137" s="25"/>
      <c r="G137" s="25"/>
      <c r="H137" s="509"/>
      <c r="I137" s="643"/>
      <c r="J137" s="652"/>
      <c r="K137" s="12"/>
      <c r="L137" s="12"/>
      <c r="M137" s="12"/>
      <c r="N137" s="524"/>
      <c r="O137" s="12"/>
    </row>
    <row r="138" spans="1:15" ht="18" x14ac:dyDescent="0.25">
      <c r="A138" s="387"/>
      <c r="B138" s="473"/>
      <c r="C138" s="23"/>
      <c r="D138" s="470"/>
      <c r="E138" s="23"/>
      <c r="F138" s="25"/>
      <c r="G138" s="474"/>
      <c r="H138" s="515"/>
      <c r="I138" s="643"/>
      <c r="J138" s="652"/>
      <c r="K138" s="12"/>
      <c r="L138" s="12"/>
      <c r="M138" s="12"/>
      <c r="N138" s="524"/>
      <c r="O138" s="12"/>
    </row>
    <row r="139" spans="1:15" ht="18" x14ac:dyDescent="0.25">
      <c r="A139" s="614"/>
      <c r="B139" s="615"/>
      <c r="C139" s="616"/>
      <c r="D139" s="616"/>
      <c r="E139" s="616"/>
      <c r="F139" s="617"/>
      <c r="G139" s="616"/>
      <c r="H139" s="618"/>
      <c r="I139" s="643"/>
      <c r="J139" s="652"/>
      <c r="K139" s="12"/>
      <c r="L139" s="12"/>
      <c r="M139" s="12"/>
      <c r="N139" s="524"/>
      <c r="O139" s="12"/>
    </row>
    <row r="140" spans="1:15" x14ac:dyDescent="0.25">
      <c r="A140" s="387"/>
      <c r="B140" s="354"/>
      <c r="C140" s="388"/>
      <c r="D140" s="470"/>
      <c r="E140" s="23"/>
      <c r="F140" s="407"/>
      <c r="G140" s="472"/>
      <c r="H140" s="512"/>
      <c r="I140" s="643"/>
      <c r="J140" s="652"/>
      <c r="K140" s="12"/>
      <c r="L140" s="12"/>
      <c r="M140" s="12"/>
      <c r="N140" s="524"/>
      <c r="O140" s="12"/>
    </row>
    <row r="141" spans="1:15" x14ac:dyDescent="0.25">
      <c r="A141" s="387"/>
      <c r="B141" s="354"/>
      <c r="C141" s="388"/>
      <c r="D141" s="470"/>
      <c r="E141" s="23"/>
      <c r="F141" s="468"/>
      <c r="G141" s="25"/>
      <c r="H141" s="512"/>
      <c r="I141" s="643"/>
      <c r="J141" s="652"/>
      <c r="K141" s="12"/>
      <c r="L141" s="12"/>
      <c r="M141" s="12"/>
      <c r="N141" s="524"/>
      <c r="O141" s="12"/>
    </row>
    <row r="142" spans="1:15" x14ac:dyDescent="0.25">
      <c r="A142" s="387"/>
      <c r="B142" s="354"/>
      <c r="C142" s="388"/>
      <c r="D142" s="470"/>
      <c r="E142" s="23"/>
      <c r="F142" s="468"/>
      <c r="G142" s="25"/>
      <c r="H142" s="512"/>
      <c r="I142" s="643"/>
      <c r="J142" s="652"/>
      <c r="K142" s="12"/>
      <c r="L142" s="12"/>
      <c r="M142" s="12"/>
      <c r="N142" s="524"/>
      <c r="O142" s="12"/>
    </row>
    <row r="143" spans="1:15" x14ac:dyDescent="0.25">
      <c r="A143" s="387"/>
      <c r="B143" s="354"/>
      <c r="C143" s="388"/>
      <c r="D143" s="470"/>
      <c r="E143" s="23"/>
      <c r="F143" s="468"/>
      <c r="G143" s="25"/>
      <c r="H143" s="512"/>
      <c r="I143" s="643"/>
      <c r="J143" s="652"/>
      <c r="K143" s="12"/>
      <c r="L143" s="12"/>
      <c r="M143" s="12"/>
      <c r="N143" s="524"/>
      <c r="O143" s="12"/>
    </row>
    <row r="144" spans="1:15" x14ac:dyDescent="0.25">
      <c r="A144" s="387"/>
      <c r="B144" s="354"/>
      <c r="C144" s="388"/>
      <c r="D144" s="470"/>
      <c r="E144" s="23"/>
      <c r="F144" s="468"/>
      <c r="G144" s="25"/>
      <c r="H144" s="512"/>
      <c r="I144" s="643"/>
      <c r="J144" s="652"/>
      <c r="K144" s="12"/>
      <c r="L144" s="12"/>
      <c r="M144" s="12"/>
      <c r="N144" s="524"/>
      <c r="O144" s="12"/>
    </row>
    <row r="145" spans="1:15" x14ac:dyDescent="0.25">
      <c r="A145" s="387"/>
      <c r="B145" s="354"/>
      <c r="C145" s="388"/>
      <c r="D145" s="470"/>
      <c r="E145" s="23"/>
      <c r="F145" s="468"/>
      <c r="G145" s="25"/>
      <c r="H145" s="512"/>
      <c r="I145" s="643"/>
      <c r="J145" s="652"/>
      <c r="K145" s="12"/>
      <c r="L145" s="12"/>
      <c r="M145" s="12"/>
      <c r="N145" s="524"/>
      <c r="O145" s="12"/>
    </row>
    <row r="146" spans="1:15" x14ac:dyDescent="0.25">
      <c r="A146" s="387"/>
      <c r="B146" s="354"/>
      <c r="C146" s="388"/>
      <c r="D146" s="470"/>
      <c r="E146" s="23"/>
      <c r="F146" s="468"/>
      <c r="G146" s="25"/>
      <c r="H146" s="512"/>
      <c r="I146" s="643"/>
      <c r="J146" s="652"/>
      <c r="K146" s="12"/>
      <c r="L146" s="12"/>
      <c r="M146" s="12"/>
      <c r="N146" s="524"/>
      <c r="O146" s="12"/>
    </row>
    <row r="147" spans="1:15" ht="16.5" thickBot="1" x14ac:dyDescent="0.3">
      <c r="A147" s="387"/>
      <c r="B147" s="354"/>
      <c r="C147" s="388"/>
      <c r="D147" s="470"/>
      <c r="E147" s="23"/>
      <c r="F147" s="468"/>
      <c r="G147" s="25"/>
      <c r="H147" s="512"/>
      <c r="I147" s="643"/>
      <c r="J147" s="652"/>
      <c r="K147" s="12"/>
      <c r="L147" s="12"/>
      <c r="M147" s="12"/>
      <c r="N147" s="524"/>
      <c r="O147" s="12"/>
    </row>
    <row r="148" spans="1:15" ht="18.75" thickBot="1" x14ac:dyDescent="0.3">
      <c r="A148" s="261"/>
      <c r="B148" s="262"/>
      <c r="C148" s="261"/>
      <c r="D148" s="261"/>
      <c r="E148" s="261"/>
      <c r="F148" s="263"/>
      <c r="G148" s="263"/>
      <c r="H148" s="506"/>
      <c r="I148" s="643"/>
      <c r="J148" s="652"/>
      <c r="K148" s="12"/>
      <c r="L148" s="12"/>
      <c r="M148" s="12"/>
      <c r="N148" s="524"/>
      <c r="O148" s="12"/>
    </row>
    <row r="149" spans="1:15" ht="18" x14ac:dyDescent="0.25">
      <c r="A149" s="17"/>
      <c r="B149" s="18"/>
      <c r="C149" s="19"/>
      <c r="D149" s="20"/>
      <c r="E149" s="19"/>
      <c r="F149" s="21"/>
      <c r="G149" s="21"/>
      <c r="H149"/>
      <c r="I149" s="643"/>
      <c r="J149" s="652"/>
      <c r="K149" s="12"/>
      <c r="L149" s="12"/>
      <c r="M149" s="12"/>
      <c r="N149" s="524"/>
      <c r="O149" s="12"/>
    </row>
    <row r="150" spans="1:15" ht="18" x14ac:dyDescent="0.25">
      <c r="A150" s="17"/>
      <c r="B150" s="205"/>
      <c r="C150" s="23"/>
      <c r="D150" s="200"/>
      <c r="E150" s="23"/>
      <c r="F150" s="25"/>
      <c r="G150" s="25"/>
      <c r="H150" s="509"/>
      <c r="I150" s="643"/>
      <c r="J150" s="652"/>
      <c r="K150" s="12"/>
      <c r="L150" s="12"/>
      <c r="M150" s="12"/>
      <c r="N150" s="524"/>
      <c r="O150" s="12"/>
    </row>
    <row r="151" spans="1:15" x14ac:dyDescent="0.25">
      <c r="A151" s="22"/>
      <c r="B151" s="26"/>
      <c r="C151" s="23"/>
      <c r="D151" s="23"/>
      <c r="E151" s="23"/>
      <c r="F151" s="25"/>
      <c r="G151" s="25"/>
      <c r="H151" s="509"/>
      <c r="I151" s="643"/>
      <c r="J151" s="655"/>
      <c r="K151" s="613"/>
      <c r="L151" s="12"/>
      <c r="M151" s="12"/>
      <c r="N151" s="524"/>
      <c r="O151" s="12"/>
    </row>
    <row r="152" spans="1:15" x14ac:dyDescent="0.25">
      <c r="A152" s="22"/>
      <c r="B152" s="26"/>
      <c r="C152" s="23"/>
      <c r="D152" s="23"/>
      <c r="E152" s="23"/>
      <c r="F152" s="25"/>
      <c r="G152" s="25"/>
      <c r="H152" s="509"/>
      <c r="I152" s="643"/>
      <c r="J152" s="655"/>
      <c r="K152" s="613"/>
      <c r="L152" s="12"/>
      <c r="M152" s="12"/>
      <c r="N152" s="524"/>
      <c r="O152" s="12"/>
    </row>
    <row r="153" spans="1:15" x14ac:dyDescent="0.25">
      <c r="A153" s="22"/>
      <c r="B153" s="26"/>
      <c r="C153" s="23"/>
      <c r="D153" s="23"/>
      <c r="E153" s="23"/>
      <c r="F153" s="25"/>
      <c r="G153" s="25"/>
      <c r="H153" s="509"/>
      <c r="I153" s="643"/>
      <c r="J153" s="655"/>
      <c r="K153" s="613"/>
      <c r="L153" s="12"/>
      <c r="M153" s="12"/>
      <c r="N153" s="524"/>
      <c r="O153" s="12"/>
    </row>
    <row r="154" spans="1:15" x14ac:dyDescent="0.25">
      <c r="A154" s="22"/>
      <c r="B154" s="27"/>
      <c r="C154" s="23"/>
      <c r="D154" s="23"/>
      <c r="E154" s="23"/>
      <c r="F154" s="25"/>
      <c r="G154" s="25"/>
      <c r="H154" s="509"/>
      <c r="I154" s="643"/>
      <c r="J154" s="655"/>
      <c r="K154" s="613"/>
      <c r="L154" s="12"/>
      <c r="M154" s="12"/>
      <c r="N154" s="524"/>
      <c r="O154" s="12"/>
    </row>
    <row r="155" spans="1:15" x14ac:dyDescent="0.25">
      <c r="A155" s="22"/>
      <c r="B155" s="26"/>
      <c r="C155" s="23"/>
      <c r="D155" s="23"/>
      <c r="E155" s="23"/>
      <c r="F155" s="25"/>
      <c r="G155" s="25"/>
      <c r="H155" s="509"/>
      <c r="I155" s="643"/>
      <c r="J155" s="655"/>
      <c r="K155" s="613"/>
      <c r="L155" s="12"/>
      <c r="M155" s="12"/>
      <c r="N155" s="524"/>
      <c r="O155" s="12"/>
    </row>
    <row r="156" spans="1:15" x14ac:dyDescent="0.25">
      <c r="A156" s="22"/>
      <c r="B156" s="26"/>
      <c r="C156" s="23"/>
      <c r="D156" s="23"/>
      <c r="E156" s="23"/>
      <c r="F156" s="25"/>
      <c r="G156" s="25"/>
      <c r="H156" s="509"/>
      <c r="I156" s="643"/>
      <c r="J156" s="655"/>
      <c r="K156" s="613"/>
      <c r="L156" s="12"/>
      <c r="M156" s="12"/>
      <c r="N156" s="524"/>
      <c r="O156" s="12"/>
    </row>
    <row r="157" spans="1:15" x14ac:dyDescent="0.25">
      <c r="A157" s="22"/>
      <c r="B157" s="26"/>
      <c r="C157" s="23"/>
      <c r="D157" s="23"/>
      <c r="E157" s="23"/>
      <c r="F157" s="25"/>
      <c r="G157" s="25"/>
      <c r="H157" s="509"/>
      <c r="I157" s="643"/>
      <c r="J157" s="655"/>
      <c r="K157" s="613"/>
      <c r="L157" s="12"/>
      <c r="M157" s="12"/>
      <c r="N157" s="524"/>
      <c r="O157" s="12"/>
    </row>
    <row r="158" spans="1:15" x14ac:dyDescent="0.25">
      <c r="A158" s="22"/>
      <c r="B158" s="26"/>
      <c r="C158" s="23"/>
      <c r="D158" s="23"/>
      <c r="E158" s="23"/>
      <c r="F158" s="25"/>
      <c r="G158" s="25"/>
      <c r="H158" s="509"/>
      <c r="I158" s="643"/>
      <c r="J158" s="655"/>
      <c r="K158" s="613"/>
      <c r="L158" s="12"/>
      <c r="M158" s="12"/>
      <c r="N158" s="524"/>
      <c r="O158" s="12"/>
    </row>
    <row r="159" spans="1:15" x14ac:dyDescent="0.25">
      <c r="A159" s="22"/>
      <c r="B159" s="27"/>
      <c r="C159" s="23"/>
      <c r="D159" s="23"/>
      <c r="E159" s="23"/>
      <c r="F159" s="25"/>
      <c r="G159" s="25"/>
      <c r="H159" s="509"/>
      <c r="I159" s="643"/>
      <c r="J159" s="655"/>
      <c r="K159" s="613"/>
      <c r="L159" s="12"/>
      <c r="M159" s="12"/>
      <c r="N159" s="524"/>
      <c r="O159" s="12"/>
    </row>
    <row r="160" spans="1:15" x14ac:dyDescent="0.25">
      <c r="A160" s="22"/>
      <c r="B160" s="26"/>
      <c r="C160" s="23"/>
      <c r="D160" s="23"/>
      <c r="E160" s="23"/>
      <c r="F160" s="25"/>
      <c r="G160" s="25"/>
      <c r="H160" s="509"/>
      <c r="I160" s="643"/>
      <c r="J160" s="655"/>
      <c r="K160" s="613"/>
      <c r="L160" s="12"/>
      <c r="M160" s="12"/>
      <c r="N160" s="524"/>
      <c r="O160" s="12"/>
    </row>
    <row r="161" spans="1:15" x14ac:dyDescent="0.25">
      <c r="A161" s="22"/>
      <c r="B161" s="26"/>
      <c r="C161" s="23"/>
      <c r="D161" s="23"/>
      <c r="E161" s="23"/>
      <c r="F161" s="25"/>
      <c r="G161" s="25"/>
      <c r="H161" s="509"/>
      <c r="I161" s="643"/>
      <c r="J161" s="655"/>
      <c r="K161" s="613"/>
      <c r="L161" s="12"/>
      <c r="M161" s="12"/>
      <c r="N161" s="524"/>
      <c r="O161" s="12"/>
    </row>
    <row r="162" spans="1:15" x14ac:dyDescent="0.25">
      <c r="A162" s="22"/>
      <c r="B162" s="26"/>
      <c r="C162" s="23"/>
      <c r="D162" s="23"/>
      <c r="E162" s="23"/>
      <c r="F162" s="25"/>
      <c r="G162" s="25"/>
      <c r="H162" s="509"/>
      <c r="I162" s="643"/>
      <c r="J162" s="655"/>
      <c r="K162" s="613"/>
      <c r="L162" s="12"/>
      <c r="M162" s="12"/>
      <c r="N162" s="524"/>
      <c r="O162" s="12"/>
    </row>
    <row r="163" spans="1:15" ht="16.5" thickBot="1" x14ac:dyDescent="0.3">
      <c r="A163" s="807"/>
      <c r="B163" s="808"/>
      <c r="C163" s="426"/>
      <c r="D163" s="426"/>
      <c r="E163" s="426"/>
      <c r="F163" s="427"/>
      <c r="G163" s="427"/>
      <c r="H163" s="592"/>
      <c r="I163" s="643"/>
      <c r="J163" s="652"/>
      <c r="K163" s="12"/>
      <c r="L163" s="12"/>
      <c r="M163" s="12"/>
      <c r="N163" s="524"/>
      <c r="O163" s="12"/>
    </row>
    <row r="164" spans="1:15" ht="18" x14ac:dyDescent="0.25">
      <c r="A164" s="17"/>
      <c r="B164" s="205"/>
      <c r="C164" s="23"/>
      <c r="D164" s="200"/>
      <c r="E164" s="23"/>
      <c r="F164" s="25"/>
      <c r="G164" s="25"/>
      <c r="H164" s="509"/>
      <c r="I164" s="643"/>
      <c r="J164" s="652"/>
      <c r="K164" s="12"/>
      <c r="L164" s="12"/>
      <c r="M164" s="12"/>
      <c r="N164" s="524"/>
      <c r="O164" s="12"/>
    </row>
    <row r="165" spans="1:15" x14ac:dyDescent="0.25">
      <c r="A165" s="22"/>
      <c r="B165" s="26"/>
      <c r="C165" s="23"/>
      <c r="D165" s="23"/>
      <c r="E165" s="23"/>
      <c r="F165" s="25"/>
      <c r="G165" s="25"/>
      <c r="H165" s="509"/>
      <c r="I165" s="643"/>
      <c r="J165" s="655"/>
      <c r="K165" s="613"/>
      <c r="L165" s="12"/>
      <c r="M165" s="12"/>
      <c r="N165" s="524"/>
      <c r="O165" s="12"/>
    </row>
    <row r="166" spans="1:15" x14ac:dyDescent="0.25">
      <c r="A166" s="22"/>
      <c r="B166" s="26"/>
      <c r="C166" s="23"/>
      <c r="D166" s="23"/>
      <c r="E166" s="200"/>
      <c r="F166" s="25"/>
      <c r="G166" s="25"/>
      <c r="H166" s="346"/>
      <c r="I166" s="643"/>
      <c r="J166" s="655"/>
      <c r="K166" s="613"/>
      <c r="L166" s="12"/>
      <c r="M166" s="12"/>
      <c r="N166" s="524"/>
      <c r="O166" s="12"/>
    </row>
    <row r="167" spans="1:15" x14ac:dyDescent="0.25">
      <c r="A167" s="22"/>
      <c r="B167" s="26"/>
      <c r="C167" s="23"/>
      <c r="D167" s="23"/>
      <c r="E167" s="23"/>
      <c r="F167" s="25"/>
      <c r="G167" s="25"/>
      <c r="H167" s="509"/>
      <c r="I167" s="643"/>
      <c r="J167" s="655"/>
      <c r="K167" s="613"/>
      <c r="L167" s="12"/>
      <c r="M167" s="12"/>
      <c r="N167" s="524"/>
      <c r="O167" s="12"/>
    </row>
    <row r="168" spans="1:15" ht="16.5" thickBot="1" x14ac:dyDescent="0.3">
      <c r="A168" s="807"/>
      <c r="B168" s="808"/>
      <c r="C168" s="426"/>
      <c r="D168" s="426"/>
      <c r="E168" s="426"/>
      <c r="F168" s="427"/>
      <c r="G168" s="427"/>
      <c r="H168" s="592"/>
      <c r="I168" s="643"/>
      <c r="J168" s="652"/>
      <c r="K168" s="12"/>
      <c r="L168" s="12"/>
      <c r="M168" s="12"/>
      <c r="N168" s="524"/>
      <c r="O168" s="12"/>
    </row>
    <row r="169" spans="1:15" ht="18.75" thickBot="1" x14ac:dyDescent="0.3">
      <c r="A169" s="261"/>
      <c r="B169" s="262"/>
      <c r="C169" s="261"/>
      <c r="D169" s="261"/>
      <c r="E169" s="261"/>
      <c r="F169" s="263"/>
      <c r="G169" s="263"/>
      <c r="H169" s="506"/>
      <c r="I169" s="643"/>
      <c r="J169" s="652"/>
      <c r="K169" s="12"/>
      <c r="L169" s="12"/>
      <c r="M169" s="12"/>
      <c r="N169" s="524"/>
      <c r="O169" s="12"/>
    </row>
    <row r="170" spans="1:15" ht="18" x14ac:dyDescent="0.25">
      <c r="A170" s="17"/>
      <c r="B170" s="18"/>
      <c r="C170" s="19"/>
      <c r="D170" s="20"/>
      <c r="E170" s="19"/>
      <c r="F170" s="21"/>
      <c r="G170" s="21"/>
      <c r="H170"/>
      <c r="I170" s="644"/>
      <c r="J170" s="653"/>
      <c r="K170" s="500"/>
      <c r="L170" s="500"/>
      <c r="M170" s="500"/>
      <c r="N170" s="521"/>
      <c r="O170" s="12"/>
    </row>
    <row r="171" spans="1:15" x14ac:dyDescent="0.25">
      <c r="A171" s="22"/>
      <c r="B171" s="26"/>
      <c r="C171" s="23"/>
      <c r="D171" s="23"/>
      <c r="E171" s="23"/>
      <c r="F171" s="28"/>
      <c r="G171" s="28"/>
      <c r="H171" s="509"/>
      <c r="I171" s="644"/>
      <c r="J171" s="653"/>
      <c r="K171" s="500"/>
      <c r="L171" s="500"/>
      <c r="M171" s="500"/>
      <c r="N171" s="521"/>
      <c r="O171" s="12"/>
    </row>
    <row r="172" spans="1:15" x14ac:dyDescent="0.25">
      <c r="A172" s="22"/>
      <c r="B172" s="26"/>
      <c r="C172" s="23"/>
      <c r="D172" s="23"/>
      <c r="E172" s="23"/>
      <c r="F172" s="28"/>
      <c r="G172" s="28"/>
      <c r="H172" s="509"/>
      <c r="I172" s="644"/>
      <c r="J172" s="653"/>
      <c r="K172" s="500"/>
      <c r="L172" s="500"/>
      <c r="M172" s="500"/>
      <c r="N172" s="521"/>
      <c r="O172" s="12"/>
    </row>
    <row r="173" spans="1:15" x14ac:dyDescent="0.25">
      <c r="A173" s="22"/>
      <c r="B173" s="26"/>
      <c r="C173" s="23"/>
      <c r="D173" s="23"/>
      <c r="E173" s="23"/>
      <c r="F173" s="28"/>
      <c r="G173" s="28"/>
      <c r="H173" s="509"/>
      <c r="I173" s="644"/>
      <c r="J173" s="653"/>
      <c r="K173" s="500"/>
      <c r="L173" s="500"/>
      <c r="M173" s="500"/>
      <c r="N173" s="521"/>
      <c r="O173" s="12"/>
    </row>
    <row r="174" spans="1:15" x14ac:dyDescent="0.25">
      <c r="A174" s="22"/>
      <c r="B174" s="26"/>
      <c r="C174" s="23"/>
      <c r="D174" s="23"/>
      <c r="E174" s="23"/>
      <c r="F174" s="28"/>
      <c r="G174" s="28"/>
      <c r="H174" s="509"/>
      <c r="I174" s="644"/>
      <c r="J174" s="653"/>
      <c r="K174" s="500"/>
      <c r="L174" s="500"/>
      <c r="M174" s="500"/>
      <c r="N174" s="521"/>
      <c r="O174" s="12"/>
    </row>
    <row r="175" spans="1:15" x14ac:dyDescent="0.25">
      <c r="A175" s="22"/>
      <c r="B175" s="26"/>
      <c r="C175" s="23"/>
      <c r="D175" s="23"/>
      <c r="E175" s="23"/>
      <c r="F175" s="28"/>
      <c r="G175" s="28"/>
      <c r="H175" s="509"/>
      <c r="I175" s="644"/>
      <c r="J175" s="653"/>
      <c r="K175" s="500"/>
      <c r="L175" s="500"/>
      <c r="M175" s="500"/>
      <c r="N175" s="521"/>
      <c r="O175" s="12"/>
    </row>
    <row r="176" spans="1:15" x14ac:dyDescent="0.25">
      <c r="A176" s="22"/>
      <c r="B176" s="26"/>
      <c r="C176" s="23"/>
      <c r="D176" s="23"/>
      <c r="E176" s="23"/>
      <c r="F176" s="28"/>
      <c r="G176" s="28"/>
      <c r="H176" s="509"/>
      <c r="I176" s="644"/>
      <c r="J176" s="653"/>
      <c r="K176" s="500"/>
      <c r="L176" s="500"/>
      <c r="M176" s="500"/>
      <c r="N176" s="521"/>
      <c r="O176" s="12"/>
    </row>
    <row r="177" spans="1:15" ht="16.5" thickBot="1" x14ac:dyDescent="0.3">
      <c r="A177" s="22"/>
      <c r="B177" s="26"/>
      <c r="C177" s="23"/>
      <c r="D177" s="23"/>
      <c r="E177" s="23"/>
      <c r="F177" s="28"/>
      <c r="G177" s="28"/>
      <c r="H177" s="510"/>
      <c r="I177" s="644"/>
      <c r="J177" s="653"/>
      <c r="K177" s="500"/>
      <c r="L177" s="500"/>
      <c r="M177" s="500"/>
      <c r="N177" s="521"/>
      <c r="O177" s="12"/>
    </row>
    <row r="178" spans="1:15" x14ac:dyDescent="0.25">
      <c r="A178" s="22"/>
      <c r="B178" s="26"/>
      <c r="C178" s="23"/>
      <c r="D178" s="23"/>
      <c r="E178" s="23"/>
      <c r="F178" s="28"/>
      <c r="G178" s="28"/>
      <c r="H178" s="509"/>
      <c r="I178" s="644"/>
      <c r="J178" s="653"/>
      <c r="K178" s="500"/>
      <c r="L178" s="500"/>
      <c r="M178" s="500"/>
      <c r="N178" s="521"/>
      <c r="O178" s="12"/>
    </row>
    <row r="179" spans="1:15" x14ac:dyDescent="0.25">
      <c r="A179" s="22"/>
      <c r="B179" s="26"/>
      <c r="C179" s="23"/>
      <c r="D179" s="23"/>
      <c r="E179" s="23"/>
      <c r="F179" s="28"/>
      <c r="G179" s="28"/>
      <c r="H179" s="509"/>
      <c r="I179" s="644"/>
      <c r="J179" s="653"/>
      <c r="K179" s="500"/>
      <c r="L179" s="500"/>
      <c r="M179" s="500"/>
      <c r="N179" s="521"/>
      <c r="O179" s="12"/>
    </row>
    <row r="180" spans="1:15" x14ac:dyDescent="0.25">
      <c r="A180" s="22"/>
      <c r="B180" s="26"/>
      <c r="C180" s="23"/>
      <c r="D180" s="23"/>
      <c r="E180" s="23"/>
      <c r="F180" s="28"/>
      <c r="G180" s="28"/>
      <c r="H180" s="509"/>
      <c r="I180" s="644"/>
      <c r="J180" s="653"/>
      <c r="K180" s="500"/>
      <c r="L180" s="500"/>
      <c r="M180" s="500"/>
      <c r="N180" s="521"/>
      <c r="O180" s="12"/>
    </row>
    <row r="181" spans="1:15" ht="16.5" thickBot="1" x14ac:dyDescent="0.3">
      <c r="A181" s="22"/>
      <c r="B181" s="26"/>
      <c r="C181" s="23"/>
      <c r="D181" s="23"/>
      <c r="E181" s="23"/>
      <c r="F181" s="28"/>
      <c r="G181" s="28"/>
      <c r="H181" s="510"/>
      <c r="I181" s="644"/>
      <c r="J181" s="653"/>
      <c r="K181" s="500"/>
      <c r="L181" s="500"/>
      <c r="M181" s="500"/>
      <c r="N181" s="521"/>
      <c r="O181" s="12"/>
    </row>
    <row r="182" spans="1:15" x14ac:dyDescent="0.25">
      <c r="A182" s="22"/>
      <c r="B182" s="26"/>
      <c r="C182" s="23"/>
      <c r="D182" s="72"/>
      <c r="E182" s="72"/>
      <c r="F182" s="28"/>
      <c r="G182" s="28"/>
      <c r="H182" s="509"/>
      <c r="I182" s="644"/>
      <c r="J182" s="653"/>
      <c r="K182" s="500"/>
      <c r="L182" s="500"/>
      <c r="M182" s="500"/>
      <c r="N182" s="521"/>
      <c r="O182" s="12"/>
    </row>
    <row r="183" spans="1:15" x14ac:dyDescent="0.25">
      <c r="A183" s="22"/>
      <c r="B183" s="26"/>
      <c r="C183" s="23"/>
      <c r="D183" s="72"/>
      <c r="E183" s="72"/>
      <c r="F183" s="28"/>
      <c r="G183" s="28"/>
      <c r="H183" s="509"/>
      <c r="I183" s="644"/>
      <c r="J183" s="653"/>
      <c r="K183" s="500"/>
      <c r="L183" s="500"/>
      <c r="M183" s="500"/>
      <c r="N183" s="521"/>
      <c r="O183" s="12"/>
    </row>
    <row r="184" spans="1:15" x14ac:dyDescent="0.25">
      <c r="A184" s="22"/>
      <c r="B184" s="26"/>
      <c r="C184" s="23"/>
      <c r="D184" s="23"/>
      <c r="E184" s="23"/>
      <c r="F184" s="28"/>
      <c r="G184" s="28"/>
      <c r="H184" s="509"/>
      <c r="I184" s="644"/>
      <c r="J184" s="653"/>
      <c r="K184" s="500"/>
      <c r="L184" s="500"/>
      <c r="M184" s="500"/>
      <c r="N184" s="521"/>
      <c r="O184" s="12"/>
    </row>
    <row r="185" spans="1:15" ht="16.5" thickBot="1" x14ac:dyDescent="0.3">
      <c r="A185" s="22"/>
      <c r="B185" s="26"/>
      <c r="C185" s="23"/>
      <c r="D185" s="72"/>
      <c r="E185" s="72"/>
      <c r="F185" s="28"/>
      <c r="G185" s="28"/>
      <c r="H185" s="510"/>
      <c r="I185" s="645"/>
      <c r="J185" s="654"/>
      <c r="K185" s="10"/>
      <c r="L185" s="10"/>
      <c r="M185" s="5"/>
      <c r="N185" s="519"/>
      <c r="O185" s="12"/>
    </row>
    <row r="186" spans="1:15" ht="18.75" thickBot="1" x14ac:dyDescent="0.3">
      <c r="A186" s="261"/>
      <c r="B186" s="262"/>
      <c r="C186" s="261"/>
      <c r="D186" s="261"/>
      <c r="E186" s="261"/>
      <c r="F186" s="263"/>
      <c r="G186" s="263"/>
      <c r="H186" s="506"/>
      <c r="I186" s="643"/>
      <c r="J186" s="652"/>
      <c r="K186" s="12"/>
      <c r="L186" s="12"/>
      <c r="M186" s="12"/>
      <c r="N186" s="524"/>
      <c r="O186" s="12"/>
    </row>
    <row r="187" spans="1:15" ht="24" thickBot="1" x14ac:dyDescent="0.4">
      <c r="A187" s="784"/>
      <c r="B187" s="785"/>
      <c r="C187" s="785"/>
      <c r="D187" s="785"/>
      <c r="E187" s="786"/>
      <c r="F187" s="351"/>
      <c r="G187" s="352"/>
      <c r="H187" s="517"/>
      <c r="I187" s="643"/>
      <c r="J187" s="652"/>
      <c r="K187" s="12"/>
      <c r="L187" s="12"/>
      <c r="M187" s="12"/>
      <c r="N187" s="524"/>
      <c r="O187" s="12"/>
    </row>
    <row r="188" spans="1:15" ht="15.75" customHeight="1" x14ac:dyDescent="0.35">
      <c r="A188" s="560"/>
      <c r="B188" s="562"/>
      <c r="C188" s="562"/>
      <c r="D188" s="562"/>
      <c r="E188" s="562"/>
      <c r="F188" s="558"/>
      <c r="G188" s="563"/>
      <c r="H188" s="563"/>
      <c r="I188" s="646"/>
      <c r="J188" s="656"/>
      <c r="K188" s="561"/>
      <c r="L188" s="561"/>
      <c r="M188" s="561"/>
      <c r="N188" s="561"/>
      <c r="O188" s="561"/>
    </row>
    <row r="189" spans="1:15" x14ac:dyDescent="0.25">
      <c r="A189" s="1"/>
      <c r="B189" s="1"/>
      <c r="C189" s="1"/>
      <c r="D189" s="1"/>
      <c r="E189" s="1"/>
      <c r="F189" s="526"/>
      <c r="G189" s="1"/>
      <c r="H189" s="82"/>
      <c r="I189" s="638"/>
      <c r="J189" s="648"/>
      <c r="K189" s="2"/>
      <c r="L189" s="2"/>
      <c r="M189" s="2"/>
      <c r="N189" s="2"/>
      <c r="O189" s="2"/>
    </row>
    <row r="190" spans="1:15" x14ac:dyDescent="0.25">
      <c r="A190" s="1"/>
      <c r="B190" s="1"/>
      <c r="C190" s="1"/>
      <c r="D190" s="1"/>
      <c r="E190" s="1"/>
      <c r="F190" s="527"/>
      <c r="G190" s="1"/>
      <c r="H190" s="82"/>
      <c r="I190" s="638"/>
      <c r="J190" s="648"/>
      <c r="K190" s="2"/>
      <c r="L190" s="2"/>
      <c r="M190" s="2"/>
      <c r="N190" s="2"/>
      <c r="O190" s="2"/>
    </row>
    <row r="191" spans="1:15" x14ac:dyDescent="0.25">
      <c r="A191" s="1"/>
      <c r="B191" s="1"/>
      <c r="C191" s="1"/>
      <c r="D191" s="1"/>
      <c r="E191" s="1"/>
      <c r="F191" s="527"/>
      <c r="G191" s="1"/>
      <c r="H191" s="82"/>
      <c r="I191" s="638"/>
      <c r="J191" s="648"/>
      <c r="K191" s="2"/>
      <c r="L191" s="2"/>
      <c r="M191" s="2"/>
      <c r="N191" s="2"/>
      <c r="O191" s="2"/>
    </row>
    <row r="192" spans="1:15" x14ac:dyDescent="0.25">
      <c r="A192" s="1"/>
      <c r="B192" s="1"/>
      <c r="C192" s="1"/>
      <c r="D192" s="1"/>
      <c r="E192" s="1"/>
      <c r="F192" s="1"/>
      <c r="G192" s="1"/>
      <c r="H192" s="82"/>
      <c r="I192" s="638"/>
      <c r="J192" s="648"/>
      <c r="K192" s="2"/>
      <c r="L192" s="2"/>
      <c r="M192" s="2"/>
      <c r="N192" s="2"/>
      <c r="O192" s="2"/>
    </row>
    <row r="193" spans="1:15" x14ac:dyDescent="0.25">
      <c r="A193" s="1"/>
      <c r="B193" s="1"/>
      <c r="C193" s="1"/>
      <c r="D193" s="1"/>
      <c r="E193" s="1"/>
      <c r="F193" s="1"/>
      <c r="G193" s="1"/>
      <c r="H193" s="82"/>
      <c r="I193" s="638"/>
      <c r="J193" s="648"/>
      <c r="K193" s="2"/>
      <c r="L193" s="2"/>
      <c r="M193" s="2"/>
      <c r="N193" s="2"/>
      <c r="O193" s="2"/>
    </row>
    <row r="194" spans="1:15" x14ac:dyDescent="0.25">
      <c r="B194" s="121"/>
    </row>
    <row r="195" spans="1:15" x14ac:dyDescent="0.25">
      <c r="B195" s="121"/>
    </row>
    <row r="196" spans="1:15" x14ac:dyDescent="0.25">
      <c r="B196" s="121"/>
    </row>
    <row r="197" spans="1:15" x14ac:dyDescent="0.25">
      <c r="B197" s="121"/>
    </row>
    <row r="198" spans="1:15" x14ac:dyDescent="0.25">
      <c r="B198" s="121"/>
    </row>
  </sheetData>
  <mergeCells count="13">
    <mergeCell ref="O7:O8"/>
    <mergeCell ref="A163:B163"/>
    <mergeCell ref="A168:B168"/>
    <mergeCell ref="A187:E187"/>
    <mergeCell ref="A16:C16"/>
    <mergeCell ref="A20:C20"/>
    <mergeCell ref="A23:C23"/>
    <mergeCell ref="A27:C27"/>
    <mergeCell ref="A33:C33"/>
    <mergeCell ref="A36:C36"/>
    <mergeCell ref="A40:C40"/>
    <mergeCell ref="A43:G43"/>
    <mergeCell ref="A53:C5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V130"/>
  <sheetViews>
    <sheetView workbookViewId="0">
      <selection activeCell="G5" sqref="G5"/>
    </sheetView>
  </sheetViews>
  <sheetFormatPr baseColWidth="10" defaultColWidth="8.5" defaultRowHeight="15.75" x14ac:dyDescent="0.25"/>
  <cols>
    <col min="1" max="1" width="11.875" style="125" customWidth="1"/>
    <col min="2" max="2" width="16.125" style="123" customWidth="1"/>
    <col min="3" max="3" width="14.5" style="123" customWidth="1"/>
    <col min="4" max="4" width="10.375" style="123" customWidth="1"/>
    <col min="5" max="5" width="10.625" style="123" customWidth="1"/>
    <col min="6" max="6" width="10.5" style="123" customWidth="1"/>
    <col min="7" max="7" width="11.125" style="123" customWidth="1"/>
    <col min="8" max="8" width="11" style="123" customWidth="1"/>
    <col min="9" max="9" width="9.5" style="123" customWidth="1"/>
    <col min="10" max="10" width="10.5" style="123" customWidth="1"/>
    <col min="11" max="11" width="11" style="123" customWidth="1"/>
    <col min="12" max="12" width="10.875" style="123" customWidth="1"/>
    <col min="13" max="13" width="11.625" style="123" customWidth="1"/>
    <col min="14" max="14" width="11.875" style="123" customWidth="1"/>
    <col min="15" max="15" width="12.875" style="123" customWidth="1"/>
    <col min="16" max="16" width="11.5" style="123" customWidth="1"/>
    <col min="17" max="17" width="10.375" style="123" customWidth="1"/>
    <col min="18" max="18" width="10.5" style="123" customWidth="1"/>
    <col min="19" max="19" width="8.875" style="123" hidden="1" customWidth="1"/>
    <col min="20" max="20" width="10.625" style="123" hidden="1" customWidth="1"/>
    <col min="21" max="21" width="8.875" style="123" hidden="1" customWidth="1"/>
    <col min="22" max="27" width="0" style="123" hidden="1" customWidth="1"/>
    <col min="28" max="28" width="12.5" style="123" hidden="1" customWidth="1"/>
    <col min="29" max="29" width="13.375" style="123" hidden="1" customWidth="1"/>
    <col min="30" max="30" width="14.125" style="123" hidden="1" customWidth="1"/>
    <col min="31" max="31" width="11.375" style="123" customWidth="1"/>
    <col min="32" max="36" width="10.5" style="123" customWidth="1"/>
    <col min="37" max="37" width="13.625" style="123" customWidth="1"/>
    <col min="38" max="146" width="8.5" style="123"/>
    <col min="147" max="147" width="4.125" style="123" customWidth="1"/>
    <col min="148" max="148" width="16.125" style="123" customWidth="1"/>
    <col min="149" max="149" width="14.375" style="123" customWidth="1"/>
    <col min="150" max="150" width="10.375" style="123" customWidth="1"/>
    <col min="151" max="151" width="10.625" style="123" customWidth="1"/>
    <col min="152" max="152" width="10.5" style="123" customWidth="1"/>
    <col min="153" max="153" width="11.625" style="123" customWidth="1"/>
    <col min="154" max="154" width="12.5" style="123" customWidth="1"/>
    <col min="155" max="155" width="12" style="123" customWidth="1"/>
    <col min="156" max="156" width="8.125" style="123" customWidth="1"/>
    <col min="157" max="157" width="12.125" style="123" customWidth="1"/>
    <col min="158" max="158" width="10.625" style="123" customWidth="1"/>
    <col min="159" max="159" width="12" style="123" customWidth="1"/>
    <col min="160" max="160" width="10.625" style="123" customWidth="1"/>
    <col min="161" max="161" width="11.875" style="123" customWidth="1"/>
    <col min="162" max="162" width="10.625" style="123" customWidth="1"/>
    <col min="163" max="168" width="14.375" style="123" customWidth="1"/>
    <col min="169" max="169" width="9.125" style="123" customWidth="1"/>
    <col min="170" max="170" width="14.625" style="123" customWidth="1"/>
    <col min="171" max="172" width="11.875" style="123" customWidth="1"/>
    <col min="173" max="173" width="13.5" style="123" customWidth="1"/>
    <col min="174" max="174" width="13.375" style="123" customWidth="1"/>
    <col min="175" max="175" width="14.5" style="123" customWidth="1"/>
    <col min="176" max="176" width="12.5" style="123" customWidth="1"/>
    <col min="177" max="177" width="12" style="123" customWidth="1"/>
    <col min="178" max="178" width="11" style="123" customWidth="1"/>
    <col min="179" max="179" width="12.625" style="123" customWidth="1"/>
    <col min="180" max="180" width="13.125" style="123" customWidth="1"/>
    <col min="181" max="181" width="11.375" style="123" customWidth="1"/>
    <col min="182" max="182" width="13.375" style="123" customWidth="1"/>
    <col min="183" max="183" width="15.375" style="123" customWidth="1"/>
    <col min="184" max="184" width="14.5" style="123" customWidth="1"/>
    <col min="185" max="185" width="13.125" style="123" customWidth="1"/>
    <col min="186" max="186" width="13" style="123" customWidth="1"/>
    <col min="187" max="187" width="12.625" style="123" customWidth="1"/>
    <col min="188" max="189" width="10.625" style="123" customWidth="1"/>
    <col min="190" max="190" width="11.375" style="123" customWidth="1"/>
    <col min="191" max="191" width="13.5" style="123" customWidth="1"/>
    <col min="192" max="402" width="8.5" style="123"/>
    <col min="403" max="403" width="4.125" style="123" customWidth="1"/>
    <col min="404" max="404" width="16.125" style="123" customWidth="1"/>
    <col min="405" max="405" width="14.375" style="123" customWidth="1"/>
    <col min="406" max="406" width="10.375" style="123" customWidth="1"/>
    <col min="407" max="407" width="10.625" style="123" customWidth="1"/>
    <col min="408" max="408" width="10.5" style="123" customWidth="1"/>
    <col min="409" max="409" width="11.625" style="123" customWidth="1"/>
    <col min="410" max="410" width="12.5" style="123" customWidth="1"/>
    <col min="411" max="411" width="12" style="123" customWidth="1"/>
    <col min="412" max="412" width="8.125" style="123" customWidth="1"/>
    <col min="413" max="413" width="12.125" style="123" customWidth="1"/>
    <col min="414" max="414" width="10.625" style="123" customWidth="1"/>
    <col min="415" max="415" width="12" style="123" customWidth="1"/>
    <col min="416" max="416" width="10.625" style="123" customWidth="1"/>
    <col min="417" max="417" width="11.875" style="123" customWidth="1"/>
    <col min="418" max="418" width="10.625" style="123" customWidth="1"/>
    <col min="419" max="424" width="14.375" style="123" customWidth="1"/>
    <col min="425" max="425" width="9.125" style="123" customWidth="1"/>
    <col min="426" max="426" width="14.625" style="123" customWidth="1"/>
    <col min="427" max="428" width="11.875" style="123" customWidth="1"/>
    <col min="429" max="429" width="13.5" style="123" customWidth="1"/>
    <col min="430" max="430" width="13.375" style="123" customWidth="1"/>
    <col min="431" max="431" width="14.5" style="123" customWidth="1"/>
    <col min="432" max="432" width="12.5" style="123" customWidth="1"/>
    <col min="433" max="433" width="12" style="123" customWidth="1"/>
    <col min="434" max="434" width="11" style="123" customWidth="1"/>
    <col min="435" max="435" width="12.625" style="123" customWidth="1"/>
    <col min="436" max="436" width="13.125" style="123" customWidth="1"/>
    <col min="437" max="437" width="11.375" style="123" customWidth="1"/>
    <col min="438" max="438" width="13.375" style="123" customWidth="1"/>
    <col min="439" max="439" width="15.375" style="123" customWidth="1"/>
    <col min="440" max="440" width="14.5" style="123" customWidth="1"/>
    <col min="441" max="441" width="13.125" style="123" customWidth="1"/>
    <col min="442" max="442" width="13" style="123" customWidth="1"/>
    <col min="443" max="443" width="12.625" style="123" customWidth="1"/>
    <col min="444" max="445" width="10.625" style="123" customWidth="1"/>
    <col min="446" max="446" width="11.375" style="123" customWidth="1"/>
    <col min="447" max="447" width="13.5" style="123" customWidth="1"/>
    <col min="448" max="658" width="8.5" style="123"/>
    <col min="659" max="659" width="4.125" style="123" customWidth="1"/>
    <col min="660" max="660" width="16.125" style="123" customWidth="1"/>
    <col min="661" max="661" width="14.375" style="123" customWidth="1"/>
    <col min="662" max="662" width="10.375" style="123" customWidth="1"/>
    <col min="663" max="663" width="10.625" style="123" customWidth="1"/>
    <col min="664" max="664" width="10.5" style="123" customWidth="1"/>
    <col min="665" max="665" width="11.625" style="123" customWidth="1"/>
    <col min="666" max="666" width="12.5" style="123" customWidth="1"/>
    <col min="667" max="667" width="12" style="123" customWidth="1"/>
    <col min="668" max="668" width="8.125" style="123" customWidth="1"/>
    <col min="669" max="669" width="12.125" style="123" customWidth="1"/>
    <col min="670" max="670" width="10.625" style="123" customWidth="1"/>
    <col min="671" max="671" width="12" style="123" customWidth="1"/>
    <col min="672" max="672" width="10.625" style="123" customWidth="1"/>
    <col min="673" max="673" width="11.875" style="123" customWidth="1"/>
    <col min="674" max="674" width="10.625" style="123" customWidth="1"/>
    <col min="675" max="680" width="14.375" style="123" customWidth="1"/>
    <col min="681" max="681" width="9.125" style="123" customWidth="1"/>
    <col min="682" max="682" width="14.625" style="123" customWidth="1"/>
    <col min="683" max="684" width="11.875" style="123" customWidth="1"/>
    <col min="685" max="685" width="13.5" style="123" customWidth="1"/>
    <col min="686" max="686" width="13.375" style="123" customWidth="1"/>
    <col min="687" max="687" width="14.5" style="123" customWidth="1"/>
    <col min="688" max="688" width="12.5" style="123" customWidth="1"/>
    <col min="689" max="689" width="12" style="123" customWidth="1"/>
    <col min="690" max="690" width="11" style="123" customWidth="1"/>
    <col min="691" max="691" width="12.625" style="123" customWidth="1"/>
    <col min="692" max="692" width="13.125" style="123" customWidth="1"/>
    <col min="693" max="693" width="11.375" style="123" customWidth="1"/>
    <col min="694" max="694" width="13.375" style="123" customWidth="1"/>
    <col min="695" max="695" width="15.375" style="123" customWidth="1"/>
    <col min="696" max="696" width="14.5" style="123" customWidth="1"/>
    <col min="697" max="697" width="13.125" style="123" customWidth="1"/>
    <col min="698" max="698" width="13" style="123" customWidth="1"/>
    <col min="699" max="699" width="12.625" style="123" customWidth="1"/>
    <col min="700" max="701" width="10.625" style="123" customWidth="1"/>
    <col min="702" max="702" width="11.375" style="123" customWidth="1"/>
    <col min="703" max="703" width="13.5" style="123" customWidth="1"/>
    <col min="704" max="914" width="8.5" style="123"/>
    <col min="915" max="915" width="4.125" style="123" customWidth="1"/>
    <col min="916" max="916" width="16.125" style="123" customWidth="1"/>
    <col min="917" max="917" width="14.375" style="123" customWidth="1"/>
    <col min="918" max="918" width="10.375" style="123" customWidth="1"/>
    <col min="919" max="919" width="10.625" style="123" customWidth="1"/>
    <col min="920" max="920" width="10.5" style="123" customWidth="1"/>
    <col min="921" max="921" width="11.625" style="123" customWidth="1"/>
    <col min="922" max="922" width="12.5" style="123" customWidth="1"/>
    <col min="923" max="923" width="12" style="123" customWidth="1"/>
    <col min="924" max="924" width="8.125" style="123" customWidth="1"/>
    <col min="925" max="925" width="12.125" style="123" customWidth="1"/>
    <col min="926" max="926" width="10.625" style="123" customWidth="1"/>
    <col min="927" max="927" width="12" style="123" customWidth="1"/>
    <col min="928" max="928" width="10.625" style="123" customWidth="1"/>
    <col min="929" max="929" width="11.875" style="123" customWidth="1"/>
    <col min="930" max="930" width="10.625" style="123" customWidth="1"/>
    <col min="931" max="936" width="14.375" style="123" customWidth="1"/>
    <col min="937" max="937" width="9.125" style="123" customWidth="1"/>
    <col min="938" max="938" width="14.625" style="123" customWidth="1"/>
    <col min="939" max="940" width="11.875" style="123" customWidth="1"/>
    <col min="941" max="941" width="13.5" style="123" customWidth="1"/>
    <col min="942" max="942" width="13.375" style="123" customWidth="1"/>
    <col min="943" max="943" width="14.5" style="123" customWidth="1"/>
    <col min="944" max="944" width="12.5" style="123" customWidth="1"/>
    <col min="945" max="945" width="12" style="123" customWidth="1"/>
    <col min="946" max="946" width="11" style="123" customWidth="1"/>
    <col min="947" max="947" width="12.625" style="123" customWidth="1"/>
    <col min="948" max="948" width="13.125" style="123" customWidth="1"/>
    <col min="949" max="949" width="11.375" style="123" customWidth="1"/>
    <col min="950" max="950" width="13.375" style="123" customWidth="1"/>
    <col min="951" max="951" width="15.375" style="123" customWidth="1"/>
    <col min="952" max="952" width="14.5" style="123" customWidth="1"/>
    <col min="953" max="953" width="13.125" style="123" customWidth="1"/>
    <col min="954" max="954" width="13" style="123" customWidth="1"/>
    <col min="955" max="955" width="12.625" style="123" customWidth="1"/>
    <col min="956" max="957" width="10.625" style="123" customWidth="1"/>
    <col min="958" max="958" width="11.375" style="123" customWidth="1"/>
    <col min="959" max="959" width="13.5" style="123" customWidth="1"/>
    <col min="960" max="1170" width="8.5" style="123"/>
    <col min="1171" max="1171" width="4.125" style="123" customWidth="1"/>
    <col min="1172" max="1172" width="16.125" style="123" customWidth="1"/>
    <col min="1173" max="1173" width="14.375" style="123" customWidth="1"/>
    <col min="1174" max="1174" width="10.375" style="123" customWidth="1"/>
    <col min="1175" max="1175" width="10.625" style="123" customWidth="1"/>
    <col min="1176" max="1176" width="10.5" style="123" customWidth="1"/>
    <col min="1177" max="1177" width="11.625" style="123" customWidth="1"/>
    <col min="1178" max="1178" width="12.5" style="123" customWidth="1"/>
    <col min="1179" max="1179" width="12" style="123" customWidth="1"/>
    <col min="1180" max="1180" width="8.125" style="123" customWidth="1"/>
    <col min="1181" max="1181" width="12.125" style="123" customWidth="1"/>
    <col min="1182" max="1182" width="10.625" style="123" customWidth="1"/>
    <col min="1183" max="1183" width="12" style="123" customWidth="1"/>
    <col min="1184" max="1184" width="10.625" style="123" customWidth="1"/>
    <col min="1185" max="1185" width="11.875" style="123" customWidth="1"/>
    <col min="1186" max="1186" width="10.625" style="123" customWidth="1"/>
    <col min="1187" max="1192" width="14.375" style="123" customWidth="1"/>
    <col min="1193" max="1193" width="9.125" style="123" customWidth="1"/>
    <col min="1194" max="1194" width="14.625" style="123" customWidth="1"/>
    <col min="1195" max="1196" width="11.875" style="123" customWidth="1"/>
    <col min="1197" max="1197" width="13.5" style="123" customWidth="1"/>
    <col min="1198" max="1198" width="13.375" style="123" customWidth="1"/>
    <col min="1199" max="1199" width="14.5" style="123" customWidth="1"/>
    <col min="1200" max="1200" width="12.5" style="123" customWidth="1"/>
    <col min="1201" max="1201" width="12" style="123" customWidth="1"/>
    <col min="1202" max="1202" width="11" style="123" customWidth="1"/>
    <col min="1203" max="1203" width="12.625" style="123" customWidth="1"/>
    <col min="1204" max="1204" width="13.125" style="123" customWidth="1"/>
    <col min="1205" max="1205" width="11.375" style="123" customWidth="1"/>
    <col min="1206" max="1206" width="13.375" style="123" customWidth="1"/>
    <col min="1207" max="1207" width="15.375" style="123" customWidth="1"/>
    <col min="1208" max="1208" width="14.5" style="123" customWidth="1"/>
    <col min="1209" max="1209" width="13.125" style="123" customWidth="1"/>
    <col min="1210" max="1210" width="13" style="123" customWidth="1"/>
    <col min="1211" max="1211" width="12.625" style="123" customWidth="1"/>
    <col min="1212" max="1213" width="10.625" style="123" customWidth="1"/>
    <col min="1214" max="1214" width="11.375" style="123" customWidth="1"/>
    <col min="1215" max="1215" width="13.5" style="123" customWidth="1"/>
    <col min="1216" max="1426" width="8.5" style="123"/>
    <col min="1427" max="1427" width="4.125" style="123" customWidth="1"/>
    <col min="1428" max="1428" width="16.125" style="123" customWidth="1"/>
    <col min="1429" max="1429" width="14.375" style="123" customWidth="1"/>
    <col min="1430" max="1430" width="10.375" style="123" customWidth="1"/>
    <col min="1431" max="1431" width="10.625" style="123" customWidth="1"/>
    <col min="1432" max="1432" width="10.5" style="123" customWidth="1"/>
    <col min="1433" max="1433" width="11.625" style="123" customWidth="1"/>
    <col min="1434" max="1434" width="12.5" style="123" customWidth="1"/>
    <col min="1435" max="1435" width="12" style="123" customWidth="1"/>
    <col min="1436" max="1436" width="8.125" style="123" customWidth="1"/>
    <col min="1437" max="1437" width="12.125" style="123" customWidth="1"/>
    <col min="1438" max="1438" width="10.625" style="123" customWidth="1"/>
    <col min="1439" max="1439" width="12" style="123" customWidth="1"/>
    <col min="1440" max="1440" width="10.625" style="123" customWidth="1"/>
    <col min="1441" max="1441" width="11.875" style="123" customWidth="1"/>
    <col min="1442" max="1442" width="10.625" style="123" customWidth="1"/>
    <col min="1443" max="1448" width="14.375" style="123" customWidth="1"/>
    <col min="1449" max="1449" width="9.125" style="123" customWidth="1"/>
    <col min="1450" max="1450" width="14.625" style="123" customWidth="1"/>
    <col min="1451" max="1452" width="11.875" style="123" customWidth="1"/>
    <col min="1453" max="1453" width="13.5" style="123" customWidth="1"/>
    <col min="1454" max="1454" width="13.375" style="123" customWidth="1"/>
    <col min="1455" max="1455" width="14.5" style="123" customWidth="1"/>
    <col min="1456" max="1456" width="12.5" style="123" customWidth="1"/>
    <col min="1457" max="1457" width="12" style="123" customWidth="1"/>
    <col min="1458" max="1458" width="11" style="123" customWidth="1"/>
    <col min="1459" max="1459" width="12.625" style="123" customWidth="1"/>
    <col min="1460" max="1460" width="13.125" style="123" customWidth="1"/>
    <col min="1461" max="1461" width="11.375" style="123" customWidth="1"/>
    <col min="1462" max="1462" width="13.375" style="123" customWidth="1"/>
    <col min="1463" max="1463" width="15.375" style="123" customWidth="1"/>
    <col min="1464" max="1464" width="14.5" style="123" customWidth="1"/>
    <col min="1465" max="1465" width="13.125" style="123" customWidth="1"/>
    <col min="1466" max="1466" width="13" style="123" customWidth="1"/>
    <col min="1467" max="1467" width="12.625" style="123" customWidth="1"/>
    <col min="1468" max="1469" width="10.625" style="123" customWidth="1"/>
    <col min="1470" max="1470" width="11.375" style="123" customWidth="1"/>
    <col min="1471" max="1471" width="13.5" style="123" customWidth="1"/>
    <col min="1472" max="1682" width="8.5" style="123"/>
    <col min="1683" max="1683" width="4.125" style="123" customWidth="1"/>
    <col min="1684" max="1684" width="16.125" style="123" customWidth="1"/>
    <col min="1685" max="1685" width="14.375" style="123" customWidth="1"/>
    <col min="1686" max="1686" width="10.375" style="123" customWidth="1"/>
    <col min="1687" max="1687" width="10.625" style="123" customWidth="1"/>
    <col min="1688" max="1688" width="10.5" style="123" customWidth="1"/>
    <col min="1689" max="1689" width="11.625" style="123" customWidth="1"/>
    <col min="1690" max="1690" width="12.5" style="123" customWidth="1"/>
    <col min="1691" max="1691" width="12" style="123" customWidth="1"/>
    <col min="1692" max="1692" width="8.125" style="123" customWidth="1"/>
    <col min="1693" max="1693" width="12.125" style="123" customWidth="1"/>
    <col min="1694" max="1694" width="10.625" style="123" customWidth="1"/>
    <col min="1695" max="1695" width="12" style="123" customWidth="1"/>
    <col min="1696" max="1696" width="10.625" style="123" customWidth="1"/>
    <col min="1697" max="1697" width="11.875" style="123" customWidth="1"/>
    <col min="1698" max="1698" width="10.625" style="123" customWidth="1"/>
    <col min="1699" max="1704" width="14.375" style="123" customWidth="1"/>
    <col min="1705" max="1705" width="9.125" style="123" customWidth="1"/>
    <col min="1706" max="1706" width="14.625" style="123" customWidth="1"/>
    <col min="1707" max="1708" width="11.875" style="123" customWidth="1"/>
    <col min="1709" max="1709" width="13.5" style="123" customWidth="1"/>
    <col min="1710" max="1710" width="13.375" style="123" customWidth="1"/>
    <col min="1711" max="1711" width="14.5" style="123" customWidth="1"/>
    <col min="1712" max="1712" width="12.5" style="123" customWidth="1"/>
    <col min="1713" max="1713" width="12" style="123" customWidth="1"/>
    <col min="1714" max="1714" width="11" style="123" customWidth="1"/>
    <col min="1715" max="1715" width="12.625" style="123" customWidth="1"/>
    <col min="1716" max="1716" width="13.125" style="123" customWidth="1"/>
    <col min="1717" max="1717" width="11.375" style="123" customWidth="1"/>
    <col min="1718" max="1718" width="13.375" style="123" customWidth="1"/>
    <col min="1719" max="1719" width="15.375" style="123" customWidth="1"/>
    <col min="1720" max="1720" width="14.5" style="123" customWidth="1"/>
    <col min="1721" max="1721" width="13.125" style="123" customWidth="1"/>
    <col min="1722" max="1722" width="13" style="123" customWidth="1"/>
    <col min="1723" max="1723" width="12.625" style="123" customWidth="1"/>
    <col min="1724" max="1725" width="10.625" style="123" customWidth="1"/>
    <col min="1726" max="1726" width="11.375" style="123" customWidth="1"/>
    <col min="1727" max="1727" width="13.5" style="123" customWidth="1"/>
    <col min="1728" max="1938" width="8.5" style="123"/>
    <col min="1939" max="1939" width="4.125" style="123" customWidth="1"/>
    <col min="1940" max="1940" width="16.125" style="123" customWidth="1"/>
    <col min="1941" max="1941" width="14.375" style="123" customWidth="1"/>
    <col min="1942" max="1942" width="10.375" style="123" customWidth="1"/>
    <col min="1943" max="1943" width="10.625" style="123" customWidth="1"/>
    <col min="1944" max="1944" width="10.5" style="123" customWidth="1"/>
    <col min="1945" max="1945" width="11.625" style="123" customWidth="1"/>
    <col min="1946" max="1946" width="12.5" style="123" customWidth="1"/>
    <col min="1947" max="1947" width="12" style="123" customWidth="1"/>
    <col min="1948" max="1948" width="8.125" style="123" customWidth="1"/>
    <col min="1949" max="1949" width="12.125" style="123" customWidth="1"/>
    <col min="1950" max="1950" width="10.625" style="123" customWidth="1"/>
    <col min="1951" max="1951" width="12" style="123" customWidth="1"/>
    <col min="1952" max="1952" width="10.625" style="123" customWidth="1"/>
    <col min="1953" max="1953" width="11.875" style="123" customWidth="1"/>
    <col min="1954" max="1954" width="10.625" style="123" customWidth="1"/>
    <col min="1955" max="1960" width="14.375" style="123" customWidth="1"/>
    <col min="1961" max="1961" width="9.125" style="123" customWidth="1"/>
    <col min="1962" max="1962" width="14.625" style="123" customWidth="1"/>
    <col min="1963" max="1964" width="11.875" style="123" customWidth="1"/>
    <col min="1965" max="1965" width="13.5" style="123" customWidth="1"/>
    <col min="1966" max="1966" width="13.375" style="123" customWidth="1"/>
    <col min="1967" max="1967" width="14.5" style="123" customWidth="1"/>
    <col min="1968" max="1968" width="12.5" style="123" customWidth="1"/>
    <col min="1969" max="1969" width="12" style="123" customWidth="1"/>
    <col min="1970" max="1970" width="11" style="123" customWidth="1"/>
    <col min="1971" max="1971" width="12.625" style="123" customWidth="1"/>
    <col min="1972" max="1972" width="13.125" style="123" customWidth="1"/>
    <col min="1973" max="1973" width="11.375" style="123" customWidth="1"/>
    <col min="1974" max="1974" width="13.375" style="123" customWidth="1"/>
    <col min="1975" max="1975" width="15.375" style="123" customWidth="1"/>
    <col min="1976" max="1976" width="14.5" style="123" customWidth="1"/>
    <col min="1977" max="1977" width="13.125" style="123" customWidth="1"/>
    <col min="1978" max="1978" width="13" style="123" customWidth="1"/>
    <col min="1979" max="1979" width="12.625" style="123" customWidth="1"/>
    <col min="1980" max="1981" width="10.625" style="123" customWidth="1"/>
    <col min="1982" max="1982" width="11.375" style="123" customWidth="1"/>
    <col min="1983" max="1983" width="13.5" style="123" customWidth="1"/>
    <col min="1984" max="2194" width="8.5" style="123"/>
    <col min="2195" max="2195" width="4.125" style="123" customWidth="1"/>
    <col min="2196" max="2196" width="16.125" style="123" customWidth="1"/>
    <col min="2197" max="2197" width="14.375" style="123" customWidth="1"/>
    <col min="2198" max="2198" width="10.375" style="123" customWidth="1"/>
    <col min="2199" max="2199" width="10.625" style="123" customWidth="1"/>
    <col min="2200" max="2200" width="10.5" style="123" customWidth="1"/>
    <col min="2201" max="2201" width="11.625" style="123" customWidth="1"/>
    <col min="2202" max="2202" width="12.5" style="123" customWidth="1"/>
    <col min="2203" max="2203" width="12" style="123" customWidth="1"/>
    <col min="2204" max="2204" width="8.125" style="123" customWidth="1"/>
    <col min="2205" max="2205" width="12.125" style="123" customWidth="1"/>
    <col min="2206" max="2206" width="10.625" style="123" customWidth="1"/>
    <col min="2207" max="2207" width="12" style="123" customWidth="1"/>
    <col min="2208" max="2208" width="10.625" style="123" customWidth="1"/>
    <col min="2209" max="2209" width="11.875" style="123" customWidth="1"/>
    <col min="2210" max="2210" width="10.625" style="123" customWidth="1"/>
    <col min="2211" max="2216" width="14.375" style="123" customWidth="1"/>
    <col min="2217" max="2217" width="9.125" style="123" customWidth="1"/>
    <col min="2218" max="2218" width="14.625" style="123" customWidth="1"/>
    <col min="2219" max="2220" width="11.875" style="123" customWidth="1"/>
    <col min="2221" max="2221" width="13.5" style="123" customWidth="1"/>
    <col min="2222" max="2222" width="13.375" style="123" customWidth="1"/>
    <col min="2223" max="2223" width="14.5" style="123" customWidth="1"/>
    <col min="2224" max="2224" width="12.5" style="123" customWidth="1"/>
    <col min="2225" max="2225" width="12" style="123" customWidth="1"/>
    <col min="2226" max="2226" width="11" style="123" customWidth="1"/>
    <col min="2227" max="2227" width="12.625" style="123" customWidth="1"/>
    <col min="2228" max="2228" width="13.125" style="123" customWidth="1"/>
    <col min="2229" max="2229" width="11.375" style="123" customWidth="1"/>
    <col min="2230" max="2230" width="13.375" style="123" customWidth="1"/>
    <col min="2231" max="2231" width="15.375" style="123" customWidth="1"/>
    <col min="2232" max="2232" width="14.5" style="123" customWidth="1"/>
    <col min="2233" max="2233" width="13.125" style="123" customWidth="1"/>
    <col min="2234" max="2234" width="13" style="123" customWidth="1"/>
    <col min="2235" max="2235" width="12.625" style="123" customWidth="1"/>
    <col min="2236" max="2237" width="10.625" style="123" customWidth="1"/>
    <col min="2238" max="2238" width="11.375" style="123" customWidth="1"/>
    <col min="2239" max="2239" width="13.5" style="123" customWidth="1"/>
    <col min="2240" max="2450" width="8.5" style="123"/>
    <col min="2451" max="2451" width="4.125" style="123" customWidth="1"/>
    <col min="2452" max="2452" width="16.125" style="123" customWidth="1"/>
    <col min="2453" max="2453" width="14.375" style="123" customWidth="1"/>
    <col min="2454" max="2454" width="10.375" style="123" customWidth="1"/>
    <col min="2455" max="2455" width="10.625" style="123" customWidth="1"/>
    <col min="2456" max="2456" width="10.5" style="123" customWidth="1"/>
    <col min="2457" max="2457" width="11.625" style="123" customWidth="1"/>
    <col min="2458" max="2458" width="12.5" style="123" customWidth="1"/>
    <col min="2459" max="2459" width="12" style="123" customWidth="1"/>
    <col min="2460" max="2460" width="8.125" style="123" customWidth="1"/>
    <col min="2461" max="2461" width="12.125" style="123" customWidth="1"/>
    <col min="2462" max="2462" width="10.625" style="123" customWidth="1"/>
    <col min="2463" max="2463" width="12" style="123" customWidth="1"/>
    <col min="2464" max="2464" width="10.625" style="123" customWidth="1"/>
    <col min="2465" max="2465" width="11.875" style="123" customWidth="1"/>
    <col min="2466" max="2466" width="10.625" style="123" customWidth="1"/>
    <col min="2467" max="2472" width="14.375" style="123" customWidth="1"/>
    <col min="2473" max="2473" width="9.125" style="123" customWidth="1"/>
    <col min="2474" max="2474" width="14.625" style="123" customWidth="1"/>
    <col min="2475" max="2476" width="11.875" style="123" customWidth="1"/>
    <col min="2477" max="2477" width="13.5" style="123" customWidth="1"/>
    <col min="2478" max="2478" width="13.375" style="123" customWidth="1"/>
    <col min="2479" max="2479" width="14.5" style="123" customWidth="1"/>
    <col min="2480" max="2480" width="12.5" style="123" customWidth="1"/>
    <col min="2481" max="2481" width="12" style="123" customWidth="1"/>
    <col min="2482" max="2482" width="11" style="123" customWidth="1"/>
    <col min="2483" max="2483" width="12.625" style="123" customWidth="1"/>
    <col min="2484" max="2484" width="13.125" style="123" customWidth="1"/>
    <col min="2485" max="2485" width="11.375" style="123" customWidth="1"/>
    <col min="2486" max="2486" width="13.375" style="123" customWidth="1"/>
    <col min="2487" max="2487" width="15.375" style="123" customWidth="1"/>
    <col min="2488" max="2488" width="14.5" style="123" customWidth="1"/>
    <col min="2489" max="2489" width="13.125" style="123" customWidth="1"/>
    <col min="2490" max="2490" width="13" style="123" customWidth="1"/>
    <col min="2491" max="2491" width="12.625" style="123" customWidth="1"/>
    <col min="2492" max="2493" width="10.625" style="123" customWidth="1"/>
    <col min="2494" max="2494" width="11.375" style="123" customWidth="1"/>
    <col min="2495" max="2495" width="13.5" style="123" customWidth="1"/>
    <col min="2496" max="2706" width="8.5" style="123"/>
    <col min="2707" max="2707" width="4.125" style="123" customWidth="1"/>
    <col min="2708" max="2708" width="16.125" style="123" customWidth="1"/>
    <col min="2709" max="2709" width="14.375" style="123" customWidth="1"/>
    <col min="2710" max="2710" width="10.375" style="123" customWidth="1"/>
    <col min="2711" max="2711" width="10.625" style="123" customWidth="1"/>
    <col min="2712" max="2712" width="10.5" style="123" customWidth="1"/>
    <col min="2713" max="2713" width="11.625" style="123" customWidth="1"/>
    <col min="2714" max="2714" width="12.5" style="123" customWidth="1"/>
    <col min="2715" max="2715" width="12" style="123" customWidth="1"/>
    <col min="2716" max="2716" width="8.125" style="123" customWidth="1"/>
    <col min="2717" max="2717" width="12.125" style="123" customWidth="1"/>
    <col min="2718" max="2718" width="10.625" style="123" customWidth="1"/>
    <col min="2719" max="2719" width="12" style="123" customWidth="1"/>
    <col min="2720" max="2720" width="10.625" style="123" customWidth="1"/>
    <col min="2721" max="2721" width="11.875" style="123" customWidth="1"/>
    <col min="2722" max="2722" width="10.625" style="123" customWidth="1"/>
    <col min="2723" max="2728" width="14.375" style="123" customWidth="1"/>
    <col min="2729" max="2729" width="9.125" style="123" customWidth="1"/>
    <col min="2730" max="2730" width="14.625" style="123" customWidth="1"/>
    <col min="2731" max="2732" width="11.875" style="123" customWidth="1"/>
    <col min="2733" max="2733" width="13.5" style="123" customWidth="1"/>
    <col min="2734" max="2734" width="13.375" style="123" customWidth="1"/>
    <col min="2735" max="2735" width="14.5" style="123" customWidth="1"/>
    <col min="2736" max="2736" width="12.5" style="123" customWidth="1"/>
    <col min="2737" max="2737" width="12" style="123" customWidth="1"/>
    <col min="2738" max="2738" width="11" style="123" customWidth="1"/>
    <col min="2739" max="2739" width="12.625" style="123" customWidth="1"/>
    <col min="2740" max="2740" width="13.125" style="123" customWidth="1"/>
    <col min="2741" max="2741" width="11.375" style="123" customWidth="1"/>
    <col min="2742" max="2742" width="13.375" style="123" customWidth="1"/>
    <col min="2743" max="2743" width="15.375" style="123" customWidth="1"/>
    <col min="2744" max="2744" width="14.5" style="123" customWidth="1"/>
    <col min="2745" max="2745" width="13.125" style="123" customWidth="1"/>
    <col min="2746" max="2746" width="13" style="123" customWidth="1"/>
    <col min="2747" max="2747" width="12.625" style="123" customWidth="1"/>
    <col min="2748" max="2749" width="10.625" style="123" customWidth="1"/>
    <col min="2750" max="2750" width="11.375" style="123" customWidth="1"/>
    <col min="2751" max="2751" width="13.5" style="123" customWidth="1"/>
    <col min="2752" max="2962" width="8.5" style="123"/>
    <col min="2963" max="2963" width="4.125" style="123" customWidth="1"/>
    <col min="2964" max="2964" width="16.125" style="123" customWidth="1"/>
    <col min="2965" max="2965" width="14.375" style="123" customWidth="1"/>
    <col min="2966" max="2966" width="10.375" style="123" customWidth="1"/>
    <col min="2967" max="2967" width="10.625" style="123" customWidth="1"/>
    <col min="2968" max="2968" width="10.5" style="123" customWidth="1"/>
    <col min="2969" max="2969" width="11.625" style="123" customWidth="1"/>
    <col min="2970" max="2970" width="12.5" style="123" customWidth="1"/>
    <col min="2971" max="2971" width="12" style="123" customWidth="1"/>
    <col min="2972" max="2972" width="8.125" style="123" customWidth="1"/>
    <col min="2973" max="2973" width="12.125" style="123" customWidth="1"/>
    <col min="2974" max="2974" width="10.625" style="123" customWidth="1"/>
    <col min="2975" max="2975" width="12" style="123" customWidth="1"/>
    <col min="2976" max="2976" width="10.625" style="123" customWidth="1"/>
    <col min="2977" max="2977" width="11.875" style="123" customWidth="1"/>
    <col min="2978" max="2978" width="10.625" style="123" customWidth="1"/>
    <col min="2979" max="2984" width="14.375" style="123" customWidth="1"/>
    <col min="2985" max="2985" width="9.125" style="123" customWidth="1"/>
    <col min="2986" max="2986" width="14.625" style="123" customWidth="1"/>
    <col min="2987" max="2988" width="11.875" style="123" customWidth="1"/>
    <col min="2989" max="2989" width="13.5" style="123" customWidth="1"/>
    <col min="2990" max="2990" width="13.375" style="123" customWidth="1"/>
    <col min="2991" max="2991" width="14.5" style="123" customWidth="1"/>
    <col min="2992" max="2992" width="12.5" style="123" customWidth="1"/>
    <col min="2993" max="2993" width="12" style="123" customWidth="1"/>
    <col min="2994" max="2994" width="11" style="123" customWidth="1"/>
    <col min="2995" max="2995" width="12.625" style="123" customWidth="1"/>
    <col min="2996" max="2996" width="13.125" style="123" customWidth="1"/>
    <col min="2997" max="2997" width="11.375" style="123" customWidth="1"/>
    <col min="2998" max="2998" width="13.375" style="123" customWidth="1"/>
    <col min="2999" max="2999" width="15.375" style="123" customWidth="1"/>
    <col min="3000" max="3000" width="14.5" style="123" customWidth="1"/>
    <col min="3001" max="3001" width="13.125" style="123" customWidth="1"/>
    <col min="3002" max="3002" width="13" style="123" customWidth="1"/>
    <col min="3003" max="3003" width="12.625" style="123" customWidth="1"/>
    <col min="3004" max="3005" width="10.625" style="123" customWidth="1"/>
    <col min="3006" max="3006" width="11.375" style="123" customWidth="1"/>
    <col min="3007" max="3007" width="13.5" style="123" customWidth="1"/>
    <col min="3008" max="3218" width="8.5" style="123"/>
    <col min="3219" max="3219" width="4.125" style="123" customWidth="1"/>
    <col min="3220" max="3220" width="16.125" style="123" customWidth="1"/>
    <col min="3221" max="3221" width="14.375" style="123" customWidth="1"/>
    <col min="3222" max="3222" width="10.375" style="123" customWidth="1"/>
    <col min="3223" max="3223" width="10.625" style="123" customWidth="1"/>
    <col min="3224" max="3224" width="10.5" style="123" customWidth="1"/>
    <col min="3225" max="3225" width="11.625" style="123" customWidth="1"/>
    <col min="3226" max="3226" width="12.5" style="123" customWidth="1"/>
    <col min="3227" max="3227" width="12" style="123" customWidth="1"/>
    <col min="3228" max="3228" width="8.125" style="123" customWidth="1"/>
    <col min="3229" max="3229" width="12.125" style="123" customWidth="1"/>
    <col min="3230" max="3230" width="10.625" style="123" customWidth="1"/>
    <col min="3231" max="3231" width="12" style="123" customWidth="1"/>
    <col min="3232" max="3232" width="10.625" style="123" customWidth="1"/>
    <col min="3233" max="3233" width="11.875" style="123" customWidth="1"/>
    <col min="3234" max="3234" width="10.625" style="123" customWidth="1"/>
    <col min="3235" max="3240" width="14.375" style="123" customWidth="1"/>
    <col min="3241" max="3241" width="9.125" style="123" customWidth="1"/>
    <col min="3242" max="3242" width="14.625" style="123" customWidth="1"/>
    <col min="3243" max="3244" width="11.875" style="123" customWidth="1"/>
    <col min="3245" max="3245" width="13.5" style="123" customWidth="1"/>
    <col min="3246" max="3246" width="13.375" style="123" customWidth="1"/>
    <col min="3247" max="3247" width="14.5" style="123" customWidth="1"/>
    <col min="3248" max="3248" width="12.5" style="123" customWidth="1"/>
    <col min="3249" max="3249" width="12" style="123" customWidth="1"/>
    <col min="3250" max="3250" width="11" style="123" customWidth="1"/>
    <col min="3251" max="3251" width="12.625" style="123" customWidth="1"/>
    <col min="3252" max="3252" width="13.125" style="123" customWidth="1"/>
    <col min="3253" max="3253" width="11.375" style="123" customWidth="1"/>
    <col min="3254" max="3254" width="13.375" style="123" customWidth="1"/>
    <col min="3255" max="3255" width="15.375" style="123" customWidth="1"/>
    <col min="3256" max="3256" width="14.5" style="123" customWidth="1"/>
    <col min="3257" max="3257" width="13.125" style="123" customWidth="1"/>
    <col min="3258" max="3258" width="13" style="123" customWidth="1"/>
    <col min="3259" max="3259" width="12.625" style="123" customWidth="1"/>
    <col min="3260" max="3261" width="10.625" style="123" customWidth="1"/>
    <col min="3262" max="3262" width="11.375" style="123" customWidth="1"/>
    <col min="3263" max="3263" width="13.5" style="123" customWidth="1"/>
    <col min="3264" max="3474" width="8.5" style="123"/>
    <col min="3475" max="3475" width="4.125" style="123" customWidth="1"/>
    <col min="3476" max="3476" width="16.125" style="123" customWidth="1"/>
    <col min="3477" max="3477" width="14.375" style="123" customWidth="1"/>
    <col min="3478" max="3478" width="10.375" style="123" customWidth="1"/>
    <col min="3479" max="3479" width="10.625" style="123" customWidth="1"/>
    <col min="3480" max="3480" width="10.5" style="123" customWidth="1"/>
    <col min="3481" max="3481" width="11.625" style="123" customWidth="1"/>
    <col min="3482" max="3482" width="12.5" style="123" customWidth="1"/>
    <col min="3483" max="3483" width="12" style="123" customWidth="1"/>
    <col min="3484" max="3484" width="8.125" style="123" customWidth="1"/>
    <col min="3485" max="3485" width="12.125" style="123" customWidth="1"/>
    <col min="3486" max="3486" width="10.625" style="123" customWidth="1"/>
    <col min="3487" max="3487" width="12" style="123" customWidth="1"/>
    <col min="3488" max="3488" width="10.625" style="123" customWidth="1"/>
    <col min="3489" max="3489" width="11.875" style="123" customWidth="1"/>
    <col min="3490" max="3490" width="10.625" style="123" customWidth="1"/>
    <col min="3491" max="3496" width="14.375" style="123" customWidth="1"/>
    <col min="3497" max="3497" width="9.125" style="123" customWidth="1"/>
    <col min="3498" max="3498" width="14.625" style="123" customWidth="1"/>
    <col min="3499" max="3500" width="11.875" style="123" customWidth="1"/>
    <col min="3501" max="3501" width="13.5" style="123" customWidth="1"/>
    <col min="3502" max="3502" width="13.375" style="123" customWidth="1"/>
    <col min="3503" max="3503" width="14.5" style="123" customWidth="1"/>
    <col min="3504" max="3504" width="12.5" style="123" customWidth="1"/>
    <col min="3505" max="3505" width="12" style="123" customWidth="1"/>
    <col min="3506" max="3506" width="11" style="123" customWidth="1"/>
    <col min="3507" max="3507" width="12.625" style="123" customWidth="1"/>
    <col min="3508" max="3508" width="13.125" style="123" customWidth="1"/>
    <col min="3509" max="3509" width="11.375" style="123" customWidth="1"/>
    <col min="3510" max="3510" width="13.375" style="123" customWidth="1"/>
    <col min="3511" max="3511" width="15.375" style="123" customWidth="1"/>
    <col min="3512" max="3512" width="14.5" style="123" customWidth="1"/>
    <col min="3513" max="3513" width="13.125" style="123" customWidth="1"/>
    <col min="3514" max="3514" width="13" style="123" customWidth="1"/>
    <col min="3515" max="3515" width="12.625" style="123" customWidth="1"/>
    <col min="3516" max="3517" width="10.625" style="123" customWidth="1"/>
    <col min="3518" max="3518" width="11.375" style="123" customWidth="1"/>
    <col min="3519" max="3519" width="13.5" style="123" customWidth="1"/>
    <col min="3520" max="3730" width="8.5" style="123"/>
    <col min="3731" max="3731" width="4.125" style="123" customWidth="1"/>
    <col min="3732" max="3732" width="16.125" style="123" customWidth="1"/>
    <col min="3733" max="3733" width="14.375" style="123" customWidth="1"/>
    <col min="3734" max="3734" width="10.375" style="123" customWidth="1"/>
    <col min="3735" max="3735" width="10.625" style="123" customWidth="1"/>
    <col min="3736" max="3736" width="10.5" style="123" customWidth="1"/>
    <col min="3737" max="3737" width="11.625" style="123" customWidth="1"/>
    <col min="3738" max="3738" width="12.5" style="123" customWidth="1"/>
    <col min="3739" max="3739" width="12" style="123" customWidth="1"/>
    <col min="3740" max="3740" width="8.125" style="123" customWidth="1"/>
    <col min="3741" max="3741" width="12.125" style="123" customWidth="1"/>
    <col min="3742" max="3742" width="10.625" style="123" customWidth="1"/>
    <col min="3743" max="3743" width="12" style="123" customWidth="1"/>
    <col min="3744" max="3744" width="10.625" style="123" customWidth="1"/>
    <col min="3745" max="3745" width="11.875" style="123" customWidth="1"/>
    <col min="3746" max="3746" width="10.625" style="123" customWidth="1"/>
    <col min="3747" max="3752" width="14.375" style="123" customWidth="1"/>
    <col min="3753" max="3753" width="9.125" style="123" customWidth="1"/>
    <col min="3754" max="3754" width="14.625" style="123" customWidth="1"/>
    <col min="3755" max="3756" width="11.875" style="123" customWidth="1"/>
    <col min="3757" max="3757" width="13.5" style="123" customWidth="1"/>
    <col min="3758" max="3758" width="13.375" style="123" customWidth="1"/>
    <col min="3759" max="3759" width="14.5" style="123" customWidth="1"/>
    <col min="3760" max="3760" width="12.5" style="123" customWidth="1"/>
    <col min="3761" max="3761" width="12" style="123" customWidth="1"/>
    <col min="3762" max="3762" width="11" style="123" customWidth="1"/>
    <col min="3763" max="3763" width="12.625" style="123" customWidth="1"/>
    <col min="3764" max="3764" width="13.125" style="123" customWidth="1"/>
    <col min="3765" max="3765" width="11.375" style="123" customWidth="1"/>
    <col min="3766" max="3766" width="13.375" style="123" customWidth="1"/>
    <col min="3767" max="3767" width="15.375" style="123" customWidth="1"/>
    <col min="3768" max="3768" width="14.5" style="123" customWidth="1"/>
    <col min="3769" max="3769" width="13.125" style="123" customWidth="1"/>
    <col min="3770" max="3770" width="13" style="123" customWidth="1"/>
    <col min="3771" max="3771" width="12.625" style="123" customWidth="1"/>
    <col min="3772" max="3773" width="10.625" style="123" customWidth="1"/>
    <col min="3774" max="3774" width="11.375" style="123" customWidth="1"/>
    <col min="3775" max="3775" width="13.5" style="123" customWidth="1"/>
    <col min="3776" max="3986" width="8.5" style="123"/>
    <col min="3987" max="3987" width="4.125" style="123" customWidth="1"/>
    <col min="3988" max="3988" width="16.125" style="123" customWidth="1"/>
    <col min="3989" max="3989" width="14.375" style="123" customWidth="1"/>
    <col min="3990" max="3990" width="10.375" style="123" customWidth="1"/>
    <col min="3991" max="3991" width="10.625" style="123" customWidth="1"/>
    <col min="3992" max="3992" width="10.5" style="123" customWidth="1"/>
    <col min="3993" max="3993" width="11.625" style="123" customWidth="1"/>
    <col min="3994" max="3994" width="12.5" style="123" customWidth="1"/>
    <col min="3995" max="3995" width="12" style="123" customWidth="1"/>
    <col min="3996" max="3996" width="8.125" style="123" customWidth="1"/>
    <col min="3997" max="3997" width="12.125" style="123" customWidth="1"/>
    <col min="3998" max="3998" width="10.625" style="123" customWidth="1"/>
    <col min="3999" max="3999" width="12" style="123" customWidth="1"/>
    <col min="4000" max="4000" width="10.625" style="123" customWidth="1"/>
    <col min="4001" max="4001" width="11.875" style="123" customWidth="1"/>
    <col min="4002" max="4002" width="10.625" style="123" customWidth="1"/>
    <col min="4003" max="4008" width="14.375" style="123" customWidth="1"/>
    <col min="4009" max="4009" width="9.125" style="123" customWidth="1"/>
    <col min="4010" max="4010" width="14.625" style="123" customWidth="1"/>
    <col min="4011" max="4012" width="11.875" style="123" customWidth="1"/>
    <col min="4013" max="4013" width="13.5" style="123" customWidth="1"/>
    <col min="4014" max="4014" width="13.375" style="123" customWidth="1"/>
    <col min="4015" max="4015" width="14.5" style="123" customWidth="1"/>
    <col min="4016" max="4016" width="12.5" style="123" customWidth="1"/>
    <col min="4017" max="4017" width="12" style="123" customWidth="1"/>
    <col min="4018" max="4018" width="11" style="123" customWidth="1"/>
    <col min="4019" max="4019" width="12.625" style="123" customWidth="1"/>
    <col min="4020" max="4020" width="13.125" style="123" customWidth="1"/>
    <col min="4021" max="4021" width="11.375" style="123" customWidth="1"/>
    <col min="4022" max="4022" width="13.375" style="123" customWidth="1"/>
    <col min="4023" max="4023" width="15.375" style="123" customWidth="1"/>
    <col min="4024" max="4024" width="14.5" style="123" customWidth="1"/>
    <col min="4025" max="4025" width="13.125" style="123" customWidth="1"/>
    <col min="4026" max="4026" width="13" style="123" customWidth="1"/>
    <col min="4027" max="4027" width="12.625" style="123" customWidth="1"/>
    <col min="4028" max="4029" width="10.625" style="123" customWidth="1"/>
    <col min="4030" max="4030" width="11.375" style="123" customWidth="1"/>
    <col min="4031" max="4031" width="13.5" style="123" customWidth="1"/>
    <col min="4032" max="4242" width="8.5" style="123"/>
    <col min="4243" max="4243" width="4.125" style="123" customWidth="1"/>
    <col min="4244" max="4244" width="16.125" style="123" customWidth="1"/>
    <col min="4245" max="4245" width="14.375" style="123" customWidth="1"/>
    <col min="4246" max="4246" width="10.375" style="123" customWidth="1"/>
    <col min="4247" max="4247" width="10.625" style="123" customWidth="1"/>
    <col min="4248" max="4248" width="10.5" style="123" customWidth="1"/>
    <col min="4249" max="4249" width="11.625" style="123" customWidth="1"/>
    <col min="4250" max="4250" width="12.5" style="123" customWidth="1"/>
    <col min="4251" max="4251" width="12" style="123" customWidth="1"/>
    <col min="4252" max="4252" width="8.125" style="123" customWidth="1"/>
    <col min="4253" max="4253" width="12.125" style="123" customWidth="1"/>
    <col min="4254" max="4254" width="10.625" style="123" customWidth="1"/>
    <col min="4255" max="4255" width="12" style="123" customWidth="1"/>
    <col min="4256" max="4256" width="10.625" style="123" customWidth="1"/>
    <col min="4257" max="4257" width="11.875" style="123" customWidth="1"/>
    <col min="4258" max="4258" width="10.625" style="123" customWidth="1"/>
    <col min="4259" max="4264" width="14.375" style="123" customWidth="1"/>
    <col min="4265" max="4265" width="9.125" style="123" customWidth="1"/>
    <col min="4266" max="4266" width="14.625" style="123" customWidth="1"/>
    <col min="4267" max="4268" width="11.875" style="123" customWidth="1"/>
    <col min="4269" max="4269" width="13.5" style="123" customWidth="1"/>
    <col min="4270" max="4270" width="13.375" style="123" customWidth="1"/>
    <col min="4271" max="4271" width="14.5" style="123" customWidth="1"/>
    <col min="4272" max="4272" width="12.5" style="123" customWidth="1"/>
    <col min="4273" max="4273" width="12" style="123" customWidth="1"/>
    <col min="4274" max="4274" width="11" style="123" customWidth="1"/>
    <col min="4275" max="4275" width="12.625" style="123" customWidth="1"/>
    <col min="4276" max="4276" width="13.125" style="123" customWidth="1"/>
    <col min="4277" max="4277" width="11.375" style="123" customWidth="1"/>
    <col min="4278" max="4278" width="13.375" style="123" customWidth="1"/>
    <col min="4279" max="4279" width="15.375" style="123" customWidth="1"/>
    <col min="4280" max="4280" width="14.5" style="123" customWidth="1"/>
    <col min="4281" max="4281" width="13.125" style="123" customWidth="1"/>
    <col min="4282" max="4282" width="13" style="123" customWidth="1"/>
    <col min="4283" max="4283" width="12.625" style="123" customWidth="1"/>
    <col min="4284" max="4285" width="10.625" style="123" customWidth="1"/>
    <col min="4286" max="4286" width="11.375" style="123" customWidth="1"/>
    <col min="4287" max="4287" width="13.5" style="123" customWidth="1"/>
    <col min="4288" max="4498" width="8.5" style="123"/>
    <col min="4499" max="4499" width="4.125" style="123" customWidth="1"/>
    <col min="4500" max="4500" width="16.125" style="123" customWidth="1"/>
    <col min="4501" max="4501" width="14.375" style="123" customWidth="1"/>
    <col min="4502" max="4502" width="10.375" style="123" customWidth="1"/>
    <col min="4503" max="4503" width="10.625" style="123" customWidth="1"/>
    <col min="4504" max="4504" width="10.5" style="123" customWidth="1"/>
    <col min="4505" max="4505" width="11.625" style="123" customWidth="1"/>
    <col min="4506" max="4506" width="12.5" style="123" customWidth="1"/>
    <col min="4507" max="4507" width="12" style="123" customWidth="1"/>
    <col min="4508" max="4508" width="8.125" style="123" customWidth="1"/>
    <col min="4509" max="4509" width="12.125" style="123" customWidth="1"/>
    <col min="4510" max="4510" width="10.625" style="123" customWidth="1"/>
    <col min="4511" max="4511" width="12" style="123" customWidth="1"/>
    <col min="4512" max="4512" width="10.625" style="123" customWidth="1"/>
    <col min="4513" max="4513" width="11.875" style="123" customWidth="1"/>
    <col min="4514" max="4514" width="10.625" style="123" customWidth="1"/>
    <col min="4515" max="4520" width="14.375" style="123" customWidth="1"/>
    <col min="4521" max="4521" width="9.125" style="123" customWidth="1"/>
    <col min="4522" max="4522" width="14.625" style="123" customWidth="1"/>
    <col min="4523" max="4524" width="11.875" style="123" customWidth="1"/>
    <col min="4525" max="4525" width="13.5" style="123" customWidth="1"/>
    <col min="4526" max="4526" width="13.375" style="123" customWidth="1"/>
    <col min="4527" max="4527" width="14.5" style="123" customWidth="1"/>
    <col min="4528" max="4528" width="12.5" style="123" customWidth="1"/>
    <col min="4529" max="4529" width="12" style="123" customWidth="1"/>
    <col min="4530" max="4530" width="11" style="123" customWidth="1"/>
    <col min="4531" max="4531" width="12.625" style="123" customWidth="1"/>
    <col min="4532" max="4532" width="13.125" style="123" customWidth="1"/>
    <col min="4533" max="4533" width="11.375" style="123" customWidth="1"/>
    <col min="4534" max="4534" width="13.375" style="123" customWidth="1"/>
    <col min="4535" max="4535" width="15.375" style="123" customWidth="1"/>
    <col min="4536" max="4536" width="14.5" style="123" customWidth="1"/>
    <col min="4537" max="4537" width="13.125" style="123" customWidth="1"/>
    <col min="4538" max="4538" width="13" style="123" customWidth="1"/>
    <col min="4539" max="4539" width="12.625" style="123" customWidth="1"/>
    <col min="4540" max="4541" width="10.625" style="123" customWidth="1"/>
    <col min="4542" max="4542" width="11.375" style="123" customWidth="1"/>
    <col min="4543" max="4543" width="13.5" style="123" customWidth="1"/>
    <col min="4544" max="4754" width="8.5" style="123"/>
    <col min="4755" max="4755" width="4.125" style="123" customWidth="1"/>
    <col min="4756" max="4756" width="16.125" style="123" customWidth="1"/>
    <col min="4757" max="4757" width="14.375" style="123" customWidth="1"/>
    <col min="4758" max="4758" width="10.375" style="123" customWidth="1"/>
    <col min="4759" max="4759" width="10.625" style="123" customWidth="1"/>
    <col min="4760" max="4760" width="10.5" style="123" customWidth="1"/>
    <col min="4761" max="4761" width="11.625" style="123" customWidth="1"/>
    <col min="4762" max="4762" width="12.5" style="123" customWidth="1"/>
    <col min="4763" max="4763" width="12" style="123" customWidth="1"/>
    <col min="4764" max="4764" width="8.125" style="123" customWidth="1"/>
    <col min="4765" max="4765" width="12.125" style="123" customWidth="1"/>
    <col min="4766" max="4766" width="10.625" style="123" customWidth="1"/>
    <col min="4767" max="4767" width="12" style="123" customWidth="1"/>
    <col min="4768" max="4768" width="10.625" style="123" customWidth="1"/>
    <col min="4769" max="4769" width="11.875" style="123" customWidth="1"/>
    <col min="4770" max="4770" width="10.625" style="123" customWidth="1"/>
    <col min="4771" max="4776" width="14.375" style="123" customWidth="1"/>
    <col min="4777" max="4777" width="9.125" style="123" customWidth="1"/>
    <col min="4778" max="4778" width="14.625" style="123" customWidth="1"/>
    <col min="4779" max="4780" width="11.875" style="123" customWidth="1"/>
    <col min="4781" max="4781" width="13.5" style="123" customWidth="1"/>
    <col min="4782" max="4782" width="13.375" style="123" customWidth="1"/>
    <col min="4783" max="4783" width="14.5" style="123" customWidth="1"/>
    <col min="4784" max="4784" width="12.5" style="123" customWidth="1"/>
    <col min="4785" max="4785" width="12" style="123" customWidth="1"/>
    <col min="4786" max="4786" width="11" style="123" customWidth="1"/>
    <col min="4787" max="4787" width="12.625" style="123" customWidth="1"/>
    <col min="4788" max="4788" width="13.125" style="123" customWidth="1"/>
    <col min="4789" max="4789" width="11.375" style="123" customWidth="1"/>
    <col min="4790" max="4790" width="13.375" style="123" customWidth="1"/>
    <col min="4791" max="4791" width="15.375" style="123" customWidth="1"/>
    <col min="4792" max="4792" width="14.5" style="123" customWidth="1"/>
    <col min="4793" max="4793" width="13.125" style="123" customWidth="1"/>
    <col min="4794" max="4794" width="13" style="123" customWidth="1"/>
    <col min="4795" max="4795" width="12.625" style="123" customWidth="1"/>
    <col min="4796" max="4797" width="10.625" style="123" customWidth="1"/>
    <col min="4798" max="4798" width="11.375" style="123" customWidth="1"/>
    <col min="4799" max="4799" width="13.5" style="123" customWidth="1"/>
    <col min="4800" max="5010" width="8.5" style="123"/>
    <col min="5011" max="5011" width="4.125" style="123" customWidth="1"/>
    <col min="5012" max="5012" width="16.125" style="123" customWidth="1"/>
    <col min="5013" max="5013" width="14.375" style="123" customWidth="1"/>
    <col min="5014" max="5014" width="10.375" style="123" customWidth="1"/>
    <col min="5015" max="5015" width="10.625" style="123" customWidth="1"/>
    <col min="5016" max="5016" width="10.5" style="123" customWidth="1"/>
    <col min="5017" max="5017" width="11.625" style="123" customWidth="1"/>
    <col min="5018" max="5018" width="12.5" style="123" customWidth="1"/>
    <col min="5019" max="5019" width="12" style="123" customWidth="1"/>
    <col min="5020" max="5020" width="8.125" style="123" customWidth="1"/>
    <col min="5021" max="5021" width="12.125" style="123" customWidth="1"/>
    <col min="5022" max="5022" width="10.625" style="123" customWidth="1"/>
    <col min="5023" max="5023" width="12" style="123" customWidth="1"/>
    <col min="5024" max="5024" width="10.625" style="123" customWidth="1"/>
    <col min="5025" max="5025" width="11.875" style="123" customWidth="1"/>
    <col min="5026" max="5026" width="10.625" style="123" customWidth="1"/>
    <col min="5027" max="5032" width="14.375" style="123" customWidth="1"/>
    <col min="5033" max="5033" width="9.125" style="123" customWidth="1"/>
    <col min="5034" max="5034" width="14.625" style="123" customWidth="1"/>
    <col min="5035" max="5036" width="11.875" style="123" customWidth="1"/>
    <col min="5037" max="5037" width="13.5" style="123" customWidth="1"/>
    <col min="5038" max="5038" width="13.375" style="123" customWidth="1"/>
    <col min="5039" max="5039" width="14.5" style="123" customWidth="1"/>
    <col min="5040" max="5040" width="12.5" style="123" customWidth="1"/>
    <col min="5041" max="5041" width="12" style="123" customWidth="1"/>
    <col min="5042" max="5042" width="11" style="123" customWidth="1"/>
    <col min="5043" max="5043" width="12.625" style="123" customWidth="1"/>
    <col min="5044" max="5044" width="13.125" style="123" customWidth="1"/>
    <col min="5045" max="5045" width="11.375" style="123" customWidth="1"/>
    <col min="5046" max="5046" width="13.375" style="123" customWidth="1"/>
    <col min="5047" max="5047" width="15.375" style="123" customWidth="1"/>
    <col min="5048" max="5048" width="14.5" style="123" customWidth="1"/>
    <col min="5049" max="5049" width="13.125" style="123" customWidth="1"/>
    <col min="5050" max="5050" width="13" style="123" customWidth="1"/>
    <col min="5051" max="5051" width="12.625" style="123" customWidth="1"/>
    <col min="5052" max="5053" width="10.625" style="123" customWidth="1"/>
    <col min="5054" max="5054" width="11.375" style="123" customWidth="1"/>
    <col min="5055" max="5055" width="13.5" style="123" customWidth="1"/>
    <col min="5056" max="5266" width="8.5" style="123"/>
    <col min="5267" max="5267" width="4.125" style="123" customWidth="1"/>
    <col min="5268" max="5268" width="16.125" style="123" customWidth="1"/>
    <col min="5269" max="5269" width="14.375" style="123" customWidth="1"/>
    <col min="5270" max="5270" width="10.375" style="123" customWidth="1"/>
    <col min="5271" max="5271" width="10.625" style="123" customWidth="1"/>
    <col min="5272" max="5272" width="10.5" style="123" customWidth="1"/>
    <col min="5273" max="5273" width="11.625" style="123" customWidth="1"/>
    <col min="5274" max="5274" width="12.5" style="123" customWidth="1"/>
    <col min="5275" max="5275" width="12" style="123" customWidth="1"/>
    <col min="5276" max="5276" width="8.125" style="123" customWidth="1"/>
    <col min="5277" max="5277" width="12.125" style="123" customWidth="1"/>
    <col min="5278" max="5278" width="10.625" style="123" customWidth="1"/>
    <col min="5279" max="5279" width="12" style="123" customWidth="1"/>
    <col min="5280" max="5280" width="10.625" style="123" customWidth="1"/>
    <col min="5281" max="5281" width="11.875" style="123" customWidth="1"/>
    <col min="5282" max="5282" width="10.625" style="123" customWidth="1"/>
    <col min="5283" max="5288" width="14.375" style="123" customWidth="1"/>
    <col min="5289" max="5289" width="9.125" style="123" customWidth="1"/>
    <col min="5290" max="5290" width="14.625" style="123" customWidth="1"/>
    <col min="5291" max="5292" width="11.875" style="123" customWidth="1"/>
    <col min="5293" max="5293" width="13.5" style="123" customWidth="1"/>
    <col min="5294" max="5294" width="13.375" style="123" customWidth="1"/>
    <col min="5295" max="5295" width="14.5" style="123" customWidth="1"/>
    <col min="5296" max="5296" width="12.5" style="123" customWidth="1"/>
    <col min="5297" max="5297" width="12" style="123" customWidth="1"/>
    <col min="5298" max="5298" width="11" style="123" customWidth="1"/>
    <col min="5299" max="5299" width="12.625" style="123" customWidth="1"/>
    <col min="5300" max="5300" width="13.125" style="123" customWidth="1"/>
    <col min="5301" max="5301" width="11.375" style="123" customWidth="1"/>
    <col min="5302" max="5302" width="13.375" style="123" customWidth="1"/>
    <col min="5303" max="5303" width="15.375" style="123" customWidth="1"/>
    <col min="5304" max="5304" width="14.5" style="123" customWidth="1"/>
    <col min="5305" max="5305" width="13.125" style="123" customWidth="1"/>
    <col min="5306" max="5306" width="13" style="123" customWidth="1"/>
    <col min="5307" max="5307" width="12.625" style="123" customWidth="1"/>
    <col min="5308" max="5309" width="10.625" style="123" customWidth="1"/>
    <col min="5310" max="5310" width="11.375" style="123" customWidth="1"/>
    <col min="5311" max="5311" width="13.5" style="123" customWidth="1"/>
    <col min="5312" max="5522" width="8.5" style="123"/>
    <col min="5523" max="5523" width="4.125" style="123" customWidth="1"/>
    <col min="5524" max="5524" width="16.125" style="123" customWidth="1"/>
    <col min="5525" max="5525" width="14.375" style="123" customWidth="1"/>
    <col min="5526" max="5526" width="10.375" style="123" customWidth="1"/>
    <col min="5527" max="5527" width="10.625" style="123" customWidth="1"/>
    <col min="5528" max="5528" width="10.5" style="123" customWidth="1"/>
    <col min="5529" max="5529" width="11.625" style="123" customWidth="1"/>
    <col min="5530" max="5530" width="12.5" style="123" customWidth="1"/>
    <col min="5531" max="5531" width="12" style="123" customWidth="1"/>
    <col min="5532" max="5532" width="8.125" style="123" customWidth="1"/>
    <col min="5533" max="5533" width="12.125" style="123" customWidth="1"/>
    <col min="5534" max="5534" width="10.625" style="123" customWidth="1"/>
    <col min="5535" max="5535" width="12" style="123" customWidth="1"/>
    <col min="5536" max="5536" width="10.625" style="123" customWidth="1"/>
    <col min="5537" max="5537" width="11.875" style="123" customWidth="1"/>
    <col min="5538" max="5538" width="10.625" style="123" customWidth="1"/>
    <col min="5539" max="5544" width="14.375" style="123" customWidth="1"/>
    <col min="5545" max="5545" width="9.125" style="123" customWidth="1"/>
    <col min="5546" max="5546" width="14.625" style="123" customWidth="1"/>
    <col min="5547" max="5548" width="11.875" style="123" customWidth="1"/>
    <col min="5549" max="5549" width="13.5" style="123" customWidth="1"/>
    <col min="5550" max="5550" width="13.375" style="123" customWidth="1"/>
    <col min="5551" max="5551" width="14.5" style="123" customWidth="1"/>
    <col min="5552" max="5552" width="12.5" style="123" customWidth="1"/>
    <col min="5553" max="5553" width="12" style="123" customWidth="1"/>
    <col min="5554" max="5554" width="11" style="123" customWidth="1"/>
    <col min="5555" max="5555" width="12.625" style="123" customWidth="1"/>
    <col min="5556" max="5556" width="13.125" style="123" customWidth="1"/>
    <col min="5557" max="5557" width="11.375" style="123" customWidth="1"/>
    <col min="5558" max="5558" width="13.375" style="123" customWidth="1"/>
    <col min="5559" max="5559" width="15.375" style="123" customWidth="1"/>
    <col min="5560" max="5560" width="14.5" style="123" customWidth="1"/>
    <col min="5561" max="5561" width="13.125" style="123" customWidth="1"/>
    <col min="5562" max="5562" width="13" style="123" customWidth="1"/>
    <col min="5563" max="5563" width="12.625" style="123" customWidth="1"/>
    <col min="5564" max="5565" width="10.625" style="123" customWidth="1"/>
    <col min="5566" max="5566" width="11.375" style="123" customWidth="1"/>
    <col min="5567" max="5567" width="13.5" style="123" customWidth="1"/>
    <col min="5568" max="5778" width="8.5" style="123"/>
    <col min="5779" max="5779" width="4.125" style="123" customWidth="1"/>
    <col min="5780" max="5780" width="16.125" style="123" customWidth="1"/>
    <col min="5781" max="5781" width="14.375" style="123" customWidth="1"/>
    <col min="5782" max="5782" width="10.375" style="123" customWidth="1"/>
    <col min="5783" max="5783" width="10.625" style="123" customWidth="1"/>
    <col min="5784" max="5784" width="10.5" style="123" customWidth="1"/>
    <col min="5785" max="5785" width="11.625" style="123" customWidth="1"/>
    <col min="5786" max="5786" width="12.5" style="123" customWidth="1"/>
    <col min="5787" max="5787" width="12" style="123" customWidth="1"/>
    <col min="5788" max="5788" width="8.125" style="123" customWidth="1"/>
    <col min="5789" max="5789" width="12.125" style="123" customWidth="1"/>
    <col min="5790" max="5790" width="10.625" style="123" customWidth="1"/>
    <col min="5791" max="5791" width="12" style="123" customWidth="1"/>
    <col min="5792" max="5792" width="10.625" style="123" customWidth="1"/>
    <col min="5793" max="5793" width="11.875" style="123" customWidth="1"/>
    <col min="5794" max="5794" width="10.625" style="123" customWidth="1"/>
    <col min="5795" max="5800" width="14.375" style="123" customWidth="1"/>
    <col min="5801" max="5801" width="9.125" style="123" customWidth="1"/>
    <col min="5802" max="5802" width="14.625" style="123" customWidth="1"/>
    <col min="5803" max="5804" width="11.875" style="123" customWidth="1"/>
    <col min="5805" max="5805" width="13.5" style="123" customWidth="1"/>
    <col min="5806" max="5806" width="13.375" style="123" customWidth="1"/>
    <col min="5807" max="5807" width="14.5" style="123" customWidth="1"/>
    <col min="5808" max="5808" width="12.5" style="123" customWidth="1"/>
    <col min="5809" max="5809" width="12" style="123" customWidth="1"/>
    <col min="5810" max="5810" width="11" style="123" customWidth="1"/>
    <col min="5811" max="5811" width="12.625" style="123" customWidth="1"/>
    <col min="5812" max="5812" width="13.125" style="123" customWidth="1"/>
    <col min="5813" max="5813" width="11.375" style="123" customWidth="1"/>
    <col min="5814" max="5814" width="13.375" style="123" customWidth="1"/>
    <col min="5815" max="5815" width="15.375" style="123" customWidth="1"/>
    <col min="5816" max="5816" width="14.5" style="123" customWidth="1"/>
    <col min="5817" max="5817" width="13.125" style="123" customWidth="1"/>
    <col min="5818" max="5818" width="13" style="123" customWidth="1"/>
    <col min="5819" max="5819" width="12.625" style="123" customWidth="1"/>
    <col min="5820" max="5821" width="10.625" style="123" customWidth="1"/>
    <col min="5822" max="5822" width="11.375" style="123" customWidth="1"/>
    <col min="5823" max="5823" width="13.5" style="123" customWidth="1"/>
    <col min="5824" max="6034" width="8.5" style="123"/>
    <col min="6035" max="6035" width="4.125" style="123" customWidth="1"/>
    <col min="6036" max="6036" width="16.125" style="123" customWidth="1"/>
    <col min="6037" max="6037" width="14.375" style="123" customWidth="1"/>
    <col min="6038" max="6038" width="10.375" style="123" customWidth="1"/>
    <col min="6039" max="6039" width="10.625" style="123" customWidth="1"/>
    <col min="6040" max="6040" width="10.5" style="123" customWidth="1"/>
    <col min="6041" max="6041" width="11.625" style="123" customWidth="1"/>
    <col min="6042" max="6042" width="12.5" style="123" customWidth="1"/>
    <col min="6043" max="6043" width="12" style="123" customWidth="1"/>
    <col min="6044" max="6044" width="8.125" style="123" customWidth="1"/>
    <col min="6045" max="6045" width="12.125" style="123" customWidth="1"/>
    <col min="6046" max="6046" width="10.625" style="123" customWidth="1"/>
    <col min="6047" max="6047" width="12" style="123" customWidth="1"/>
    <col min="6048" max="6048" width="10.625" style="123" customWidth="1"/>
    <col min="6049" max="6049" width="11.875" style="123" customWidth="1"/>
    <col min="6050" max="6050" width="10.625" style="123" customWidth="1"/>
    <col min="6051" max="6056" width="14.375" style="123" customWidth="1"/>
    <col min="6057" max="6057" width="9.125" style="123" customWidth="1"/>
    <col min="6058" max="6058" width="14.625" style="123" customWidth="1"/>
    <col min="6059" max="6060" width="11.875" style="123" customWidth="1"/>
    <col min="6061" max="6061" width="13.5" style="123" customWidth="1"/>
    <col min="6062" max="6062" width="13.375" style="123" customWidth="1"/>
    <col min="6063" max="6063" width="14.5" style="123" customWidth="1"/>
    <col min="6064" max="6064" width="12.5" style="123" customWidth="1"/>
    <col min="6065" max="6065" width="12" style="123" customWidth="1"/>
    <col min="6066" max="6066" width="11" style="123" customWidth="1"/>
    <col min="6067" max="6067" width="12.625" style="123" customWidth="1"/>
    <col min="6068" max="6068" width="13.125" style="123" customWidth="1"/>
    <col min="6069" max="6069" width="11.375" style="123" customWidth="1"/>
    <col min="6070" max="6070" width="13.375" style="123" customWidth="1"/>
    <col min="6071" max="6071" width="15.375" style="123" customWidth="1"/>
    <col min="6072" max="6072" width="14.5" style="123" customWidth="1"/>
    <col min="6073" max="6073" width="13.125" style="123" customWidth="1"/>
    <col min="6074" max="6074" width="13" style="123" customWidth="1"/>
    <col min="6075" max="6075" width="12.625" style="123" customWidth="1"/>
    <col min="6076" max="6077" width="10.625" style="123" customWidth="1"/>
    <col min="6078" max="6078" width="11.375" style="123" customWidth="1"/>
    <col min="6079" max="6079" width="13.5" style="123" customWidth="1"/>
    <col min="6080" max="6290" width="8.5" style="123"/>
    <col min="6291" max="6291" width="4.125" style="123" customWidth="1"/>
    <col min="6292" max="6292" width="16.125" style="123" customWidth="1"/>
    <col min="6293" max="6293" width="14.375" style="123" customWidth="1"/>
    <col min="6294" max="6294" width="10.375" style="123" customWidth="1"/>
    <col min="6295" max="6295" width="10.625" style="123" customWidth="1"/>
    <col min="6296" max="6296" width="10.5" style="123" customWidth="1"/>
    <col min="6297" max="6297" width="11.625" style="123" customWidth="1"/>
    <col min="6298" max="6298" width="12.5" style="123" customWidth="1"/>
    <col min="6299" max="6299" width="12" style="123" customWidth="1"/>
    <col min="6300" max="6300" width="8.125" style="123" customWidth="1"/>
    <col min="6301" max="6301" width="12.125" style="123" customWidth="1"/>
    <col min="6302" max="6302" width="10.625" style="123" customWidth="1"/>
    <col min="6303" max="6303" width="12" style="123" customWidth="1"/>
    <col min="6304" max="6304" width="10.625" style="123" customWidth="1"/>
    <col min="6305" max="6305" width="11.875" style="123" customWidth="1"/>
    <col min="6306" max="6306" width="10.625" style="123" customWidth="1"/>
    <col min="6307" max="6312" width="14.375" style="123" customWidth="1"/>
    <col min="6313" max="6313" width="9.125" style="123" customWidth="1"/>
    <col min="6314" max="6314" width="14.625" style="123" customWidth="1"/>
    <col min="6315" max="6316" width="11.875" style="123" customWidth="1"/>
    <col min="6317" max="6317" width="13.5" style="123" customWidth="1"/>
    <col min="6318" max="6318" width="13.375" style="123" customWidth="1"/>
    <col min="6319" max="6319" width="14.5" style="123" customWidth="1"/>
    <col min="6320" max="6320" width="12.5" style="123" customWidth="1"/>
    <col min="6321" max="6321" width="12" style="123" customWidth="1"/>
    <col min="6322" max="6322" width="11" style="123" customWidth="1"/>
    <col min="6323" max="6323" width="12.625" style="123" customWidth="1"/>
    <col min="6324" max="6324" width="13.125" style="123" customWidth="1"/>
    <col min="6325" max="6325" width="11.375" style="123" customWidth="1"/>
    <col min="6326" max="6326" width="13.375" style="123" customWidth="1"/>
    <col min="6327" max="6327" width="15.375" style="123" customWidth="1"/>
    <col min="6328" max="6328" width="14.5" style="123" customWidth="1"/>
    <col min="6329" max="6329" width="13.125" style="123" customWidth="1"/>
    <col min="6330" max="6330" width="13" style="123" customWidth="1"/>
    <col min="6331" max="6331" width="12.625" style="123" customWidth="1"/>
    <col min="6332" max="6333" width="10.625" style="123" customWidth="1"/>
    <col min="6334" max="6334" width="11.375" style="123" customWidth="1"/>
    <col min="6335" max="6335" width="13.5" style="123" customWidth="1"/>
    <col min="6336" max="6546" width="8.5" style="123"/>
    <col min="6547" max="6547" width="4.125" style="123" customWidth="1"/>
    <col min="6548" max="6548" width="16.125" style="123" customWidth="1"/>
    <col min="6549" max="6549" width="14.375" style="123" customWidth="1"/>
    <col min="6550" max="6550" width="10.375" style="123" customWidth="1"/>
    <col min="6551" max="6551" width="10.625" style="123" customWidth="1"/>
    <col min="6552" max="6552" width="10.5" style="123" customWidth="1"/>
    <col min="6553" max="6553" width="11.625" style="123" customWidth="1"/>
    <col min="6554" max="6554" width="12.5" style="123" customWidth="1"/>
    <col min="6555" max="6555" width="12" style="123" customWidth="1"/>
    <col min="6556" max="6556" width="8.125" style="123" customWidth="1"/>
    <col min="6557" max="6557" width="12.125" style="123" customWidth="1"/>
    <col min="6558" max="6558" width="10.625" style="123" customWidth="1"/>
    <col min="6559" max="6559" width="12" style="123" customWidth="1"/>
    <col min="6560" max="6560" width="10.625" style="123" customWidth="1"/>
    <col min="6561" max="6561" width="11.875" style="123" customWidth="1"/>
    <col min="6562" max="6562" width="10.625" style="123" customWidth="1"/>
    <col min="6563" max="6568" width="14.375" style="123" customWidth="1"/>
    <col min="6569" max="6569" width="9.125" style="123" customWidth="1"/>
    <col min="6570" max="6570" width="14.625" style="123" customWidth="1"/>
    <col min="6571" max="6572" width="11.875" style="123" customWidth="1"/>
    <col min="6573" max="6573" width="13.5" style="123" customWidth="1"/>
    <col min="6574" max="6574" width="13.375" style="123" customWidth="1"/>
    <col min="6575" max="6575" width="14.5" style="123" customWidth="1"/>
    <col min="6576" max="6576" width="12.5" style="123" customWidth="1"/>
    <col min="6577" max="6577" width="12" style="123" customWidth="1"/>
    <col min="6578" max="6578" width="11" style="123" customWidth="1"/>
    <col min="6579" max="6579" width="12.625" style="123" customWidth="1"/>
    <col min="6580" max="6580" width="13.125" style="123" customWidth="1"/>
    <col min="6581" max="6581" width="11.375" style="123" customWidth="1"/>
    <col min="6582" max="6582" width="13.375" style="123" customWidth="1"/>
    <col min="6583" max="6583" width="15.375" style="123" customWidth="1"/>
    <col min="6584" max="6584" width="14.5" style="123" customWidth="1"/>
    <col min="6585" max="6585" width="13.125" style="123" customWidth="1"/>
    <col min="6586" max="6586" width="13" style="123" customWidth="1"/>
    <col min="6587" max="6587" width="12.625" style="123" customWidth="1"/>
    <col min="6588" max="6589" width="10.625" style="123" customWidth="1"/>
    <col min="6590" max="6590" width="11.375" style="123" customWidth="1"/>
    <col min="6591" max="6591" width="13.5" style="123" customWidth="1"/>
    <col min="6592" max="6802" width="8.5" style="123"/>
    <col min="6803" max="6803" width="4.125" style="123" customWidth="1"/>
    <col min="6804" max="6804" width="16.125" style="123" customWidth="1"/>
    <col min="6805" max="6805" width="14.375" style="123" customWidth="1"/>
    <col min="6806" max="6806" width="10.375" style="123" customWidth="1"/>
    <col min="6807" max="6807" width="10.625" style="123" customWidth="1"/>
    <col min="6808" max="6808" width="10.5" style="123" customWidth="1"/>
    <col min="6809" max="6809" width="11.625" style="123" customWidth="1"/>
    <col min="6810" max="6810" width="12.5" style="123" customWidth="1"/>
    <col min="6811" max="6811" width="12" style="123" customWidth="1"/>
    <col min="6812" max="6812" width="8.125" style="123" customWidth="1"/>
    <col min="6813" max="6813" width="12.125" style="123" customWidth="1"/>
    <col min="6814" max="6814" width="10.625" style="123" customWidth="1"/>
    <col min="6815" max="6815" width="12" style="123" customWidth="1"/>
    <col min="6816" max="6816" width="10.625" style="123" customWidth="1"/>
    <col min="6817" max="6817" width="11.875" style="123" customWidth="1"/>
    <col min="6818" max="6818" width="10.625" style="123" customWidth="1"/>
    <col min="6819" max="6824" width="14.375" style="123" customWidth="1"/>
    <col min="6825" max="6825" width="9.125" style="123" customWidth="1"/>
    <col min="6826" max="6826" width="14.625" style="123" customWidth="1"/>
    <col min="6827" max="6828" width="11.875" style="123" customWidth="1"/>
    <col min="6829" max="6829" width="13.5" style="123" customWidth="1"/>
    <col min="6830" max="6830" width="13.375" style="123" customWidth="1"/>
    <col min="6831" max="6831" width="14.5" style="123" customWidth="1"/>
    <col min="6832" max="6832" width="12.5" style="123" customWidth="1"/>
    <col min="6833" max="6833" width="12" style="123" customWidth="1"/>
    <col min="6834" max="6834" width="11" style="123" customWidth="1"/>
    <col min="6835" max="6835" width="12.625" style="123" customWidth="1"/>
    <col min="6836" max="6836" width="13.125" style="123" customWidth="1"/>
    <col min="6837" max="6837" width="11.375" style="123" customWidth="1"/>
    <col min="6838" max="6838" width="13.375" style="123" customWidth="1"/>
    <col min="6839" max="6839" width="15.375" style="123" customWidth="1"/>
    <col min="6840" max="6840" width="14.5" style="123" customWidth="1"/>
    <col min="6841" max="6841" width="13.125" style="123" customWidth="1"/>
    <col min="6842" max="6842" width="13" style="123" customWidth="1"/>
    <col min="6843" max="6843" width="12.625" style="123" customWidth="1"/>
    <col min="6844" max="6845" width="10.625" style="123" customWidth="1"/>
    <col min="6846" max="6846" width="11.375" style="123" customWidth="1"/>
    <col min="6847" max="6847" width="13.5" style="123" customWidth="1"/>
    <col min="6848" max="7058" width="8.5" style="123"/>
    <col min="7059" max="7059" width="4.125" style="123" customWidth="1"/>
    <col min="7060" max="7060" width="16.125" style="123" customWidth="1"/>
    <col min="7061" max="7061" width="14.375" style="123" customWidth="1"/>
    <col min="7062" max="7062" width="10.375" style="123" customWidth="1"/>
    <col min="7063" max="7063" width="10.625" style="123" customWidth="1"/>
    <col min="7064" max="7064" width="10.5" style="123" customWidth="1"/>
    <col min="7065" max="7065" width="11.625" style="123" customWidth="1"/>
    <col min="7066" max="7066" width="12.5" style="123" customWidth="1"/>
    <col min="7067" max="7067" width="12" style="123" customWidth="1"/>
    <col min="7068" max="7068" width="8.125" style="123" customWidth="1"/>
    <col min="7069" max="7069" width="12.125" style="123" customWidth="1"/>
    <col min="7070" max="7070" width="10.625" style="123" customWidth="1"/>
    <col min="7071" max="7071" width="12" style="123" customWidth="1"/>
    <col min="7072" max="7072" width="10.625" style="123" customWidth="1"/>
    <col min="7073" max="7073" width="11.875" style="123" customWidth="1"/>
    <col min="7074" max="7074" width="10.625" style="123" customWidth="1"/>
    <col min="7075" max="7080" width="14.375" style="123" customWidth="1"/>
    <col min="7081" max="7081" width="9.125" style="123" customWidth="1"/>
    <col min="7082" max="7082" width="14.625" style="123" customWidth="1"/>
    <col min="7083" max="7084" width="11.875" style="123" customWidth="1"/>
    <col min="7085" max="7085" width="13.5" style="123" customWidth="1"/>
    <col min="7086" max="7086" width="13.375" style="123" customWidth="1"/>
    <col min="7087" max="7087" width="14.5" style="123" customWidth="1"/>
    <col min="7088" max="7088" width="12.5" style="123" customWidth="1"/>
    <col min="7089" max="7089" width="12" style="123" customWidth="1"/>
    <col min="7090" max="7090" width="11" style="123" customWidth="1"/>
    <col min="7091" max="7091" width="12.625" style="123" customWidth="1"/>
    <col min="7092" max="7092" width="13.125" style="123" customWidth="1"/>
    <col min="7093" max="7093" width="11.375" style="123" customWidth="1"/>
    <col min="7094" max="7094" width="13.375" style="123" customWidth="1"/>
    <col min="7095" max="7095" width="15.375" style="123" customWidth="1"/>
    <col min="7096" max="7096" width="14.5" style="123" customWidth="1"/>
    <col min="7097" max="7097" width="13.125" style="123" customWidth="1"/>
    <col min="7098" max="7098" width="13" style="123" customWidth="1"/>
    <col min="7099" max="7099" width="12.625" style="123" customWidth="1"/>
    <col min="7100" max="7101" width="10.625" style="123" customWidth="1"/>
    <col min="7102" max="7102" width="11.375" style="123" customWidth="1"/>
    <col min="7103" max="7103" width="13.5" style="123" customWidth="1"/>
    <col min="7104" max="7314" width="8.5" style="123"/>
    <col min="7315" max="7315" width="4.125" style="123" customWidth="1"/>
    <col min="7316" max="7316" width="16.125" style="123" customWidth="1"/>
    <col min="7317" max="7317" width="14.375" style="123" customWidth="1"/>
    <col min="7318" max="7318" width="10.375" style="123" customWidth="1"/>
    <col min="7319" max="7319" width="10.625" style="123" customWidth="1"/>
    <col min="7320" max="7320" width="10.5" style="123" customWidth="1"/>
    <col min="7321" max="7321" width="11.625" style="123" customWidth="1"/>
    <col min="7322" max="7322" width="12.5" style="123" customWidth="1"/>
    <col min="7323" max="7323" width="12" style="123" customWidth="1"/>
    <col min="7324" max="7324" width="8.125" style="123" customWidth="1"/>
    <col min="7325" max="7325" width="12.125" style="123" customWidth="1"/>
    <col min="7326" max="7326" width="10.625" style="123" customWidth="1"/>
    <col min="7327" max="7327" width="12" style="123" customWidth="1"/>
    <col min="7328" max="7328" width="10.625" style="123" customWidth="1"/>
    <col min="7329" max="7329" width="11.875" style="123" customWidth="1"/>
    <col min="7330" max="7330" width="10.625" style="123" customWidth="1"/>
    <col min="7331" max="7336" width="14.375" style="123" customWidth="1"/>
    <col min="7337" max="7337" width="9.125" style="123" customWidth="1"/>
    <col min="7338" max="7338" width="14.625" style="123" customWidth="1"/>
    <col min="7339" max="7340" width="11.875" style="123" customWidth="1"/>
    <col min="7341" max="7341" width="13.5" style="123" customWidth="1"/>
    <col min="7342" max="7342" width="13.375" style="123" customWidth="1"/>
    <col min="7343" max="7343" width="14.5" style="123" customWidth="1"/>
    <col min="7344" max="7344" width="12.5" style="123" customWidth="1"/>
    <col min="7345" max="7345" width="12" style="123" customWidth="1"/>
    <col min="7346" max="7346" width="11" style="123" customWidth="1"/>
    <col min="7347" max="7347" width="12.625" style="123" customWidth="1"/>
    <col min="7348" max="7348" width="13.125" style="123" customWidth="1"/>
    <col min="7349" max="7349" width="11.375" style="123" customWidth="1"/>
    <col min="7350" max="7350" width="13.375" style="123" customWidth="1"/>
    <col min="7351" max="7351" width="15.375" style="123" customWidth="1"/>
    <col min="7352" max="7352" width="14.5" style="123" customWidth="1"/>
    <col min="7353" max="7353" width="13.125" style="123" customWidth="1"/>
    <col min="7354" max="7354" width="13" style="123" customWidth="1"/>
    <col min="7355" max="7355" width="12.625" style="123" customWidth="1"/>
    <col min="7356" max="7357" width="10.625" style="123" customWidth="1"/>
    <col min="7358" max="7358" width="11.375" style="123" customWidth="1"/>
    <col min="7359" max="7359" width="13.5" style="123" customWidth="1"/>
    <col min="7360" max="7570" width="8.5" style="123"/>
    <col min="7571" max="7571" width="4.125" style="123" customWidth="1"/>
    <col min="7572" max="7572" width="16.125" style="123" customWidth="1"/>
    <col min="7573" max="7573" width="14.375" style="123" customWidth="1"/>
    <col min="7574" max="7574" width="10.375" style="123" customWidth="1"/>
    <col min="7575" max="7575" width="10.625" style="123" customWidth="1"/>
    <col min="7576" max="7576" width="10.5" style="123" customWidth="1"/>
    <col min="7577" max="7577" width="11.625" style="123" customWidth="1"/>
    <col min="7578" max="7578" width="12.5" style="123" customWidth="1"/>
    <col min="7579" max="7579" width="12" style="123" customWidth="1"/>
    <col min="7580" max="7580" width="8.125" style="123" customWidth="1"/>
    <col min="7581" max="7581" width="12.125" style="123" customWidth="1"/>
    <col min="7582" max="7582" width="10.625" style="123" customWidth="1"/>
    <col min="7583" max="7583" width="12" style="123" customWidth="1"/>
    <col min="7584" max="7584" width="10.625" style="123" customWidth="1"/>
    <col min="7585" max="7585" width="11.875" style="123" customWidth="1"/>
    <col min="7586" max="7586" width="10.625" style="123" customWidth="1"/>
    <col min="7587" max="7592" width="14.375" style="123" customWidth="1"/>
    <col min="7593" max="7593" width="9.125" style="123" customWidth="1"/>
    <col min="7594" max="7594" width="14.625" style="123" customWidth="1"/>
    <col min="7595" max="7596" width="11.875" style="123" customWidth="1"/>
    <col min="7597" max="7597" width="13.5" style="123" customWidth="1"/>
    <col min="7598" max="7598" width="13.375" style="123" customWidth="1"/>
    <col min="7599" max="7599" width="14.5" style="123" customWidth="1"/>
    <col min="7600" max="7600" width="12.5" style="123" customWidth="1"/>
    <col min="7601" max="7601" width="12" style="123" customWidth="1"/>
    <col min="7602" max="7602" width="11" style="123" customWidth="1"/>
    <col min="7603" max="7603" width="12.625" style="123" customWidth="1"/>
    <col min="7604" max="7604" width="13.125" style="123" customWidth="1"/>
    <col min="7605" max="7605" width="11.375" style="123" customWidth="1"/>
    <col min="7606" max="7606" width="13.375" style="123" customWidth="1"/>
    <col min="7607" max="7607" width="15.375" style="123" customWidth="1"/>
    <col min="7608" max="7608" width="14.5" style="123" customWidth="1"/>
    <col min="7609" max="7609" width="13.125" style="123" customWidth="1"/>
    <col min="7610" max="7610" width="13" style="123" customWidth="1"/>
    <col min="7611" max="7611" width="12.625" style="123" customWidth="1"/>
    <col min="7612" max="7613" width="10.625" style="123" customWidth="1"/>
    <col min="7614" max="7614" width="11.375" style="123" customWidth="1"/>
    <col min="7615" max="7615" width="13.5" style="123" customWidth="1"/>
    <col min="7616" max="7826" width="8.5" style="123"/>
    <col min="7827" max="7827" width="4.125" style="123" customWidth="1"/>
    <col min="7828" max="7828" width="16.125" style="123" customWidth="1"/>
    <col min="7829" max="7829" width="14.375" style="123" customWidth="1"/>
    <col min="7830" max="7830" width="10.375" style="123" customWidth="1"/>
    <col min="7831" max="7831" width="10.625" style="123" customWidth="1"/>
    <col min="7832" max="7832" width="10.5" style="123" customWidth="1"/>
    <col min="7833" max="7833" width="11.625" style="123" customWidth="1"/>
    <col min="7834" max="7834" width="12.5" style="123" customWidth="1"/>
    <col min="7835" max="7835" width="12" style="123" customWidth="1"/>
    <col min="7836" max="7836" width="8.125" style="123" customWidth="1"/>
    <col min="7837" max="7837" width="12.125" style="123" customWidth="1"/>
    <col min="7838" max="7838" width="10.625" style="123" customWidth="1"/>
    <col min="7839" max="7839" width="12" style="123" customWidth="1"/>
    <col min="7840" max="7840" width="10.625" style="123" customWidth="1"/>
    <col min="7841" max="7841" width="11.875" style="123" customWidth="1"/>
    <col min="7842" max="7842" width="10.625" style="123" customWidth="1"/>
    <col min="7843" max="7848" width="14.375" style="123" customWidth="1"/>
    <col min="7849" max="7849" width="9.125" style="123" customWidth="1"/>
    <col min="7850" max="7850" width="14.625" style="123" customWidth="1"/>
    <col min="7851" max="7852" width="11.875" style="123" customWidth="1"/>
    <col min="7853" max="7853" width="13.5" style="123" customWidth="1"/>
    <col min="7854" max="7854" width="13.375" style="123" customWidth="1"/>
    <col min="7855" max="7855" width="14.5" style="123" customWidth="1"/>
    <col min="7856" max="7856" width="12.5" style="123" customWidth="1"/>
    <col min="7857" max="7857" width="12" style="123" customWidth="1"/>
    <col min="7858" max="7858" width="11" style="123" customWidth="1"/>
    <col min="7859" max="7859" width="12.625" style="123" customWidth="1"/>
    <col min="7860" max="7860" width="13.125" style="123" customWidth="1"/>
    <col min="7861" max="7861" width="11.375" style="123" customWidth="1"/>
    <col min="7862" max="7862" width="13.375" style="123" customWidth="1"/>
    <col min="7863" max="7863" width="15.375" style="123" customWidth="1"/>
    <col min="7864" max="7864" width="14.5" style="123" customWidth="1"/>
    <col min="7865" max="7865" width="13.125" style="123" customWidth="1"/>
    <col min="7866" max="7866" width="13" style="123" customWidth="1"/>
    <col min="7867" max="7867" width="12.625" style="123" customWidth="1"/>
    <col min="7868" max="7869" width="10.625" style="123" customWidth="1"/>
    <col min="7870" max="7870" width="11.375" style="123" customWidth="1"/>
    <col min="7871" max="7871" width="13.5" style="123" customWidth="1"/>
    <col min="7872" max="8082" width="8.5" style="123"/>
    <col min="8083" max="8083" width="4.125" style="123" customWidth="1"/>
    <col min="8084" max="8084" width="16.125" style="123" customWidth="1"/>
    <col min="8085" max="8085" width="14.375" style="123" customWidth="1"/>
    <col min="8086" max="8086" width="10.375" style="123" customWidth="1"/>
    <col min="8087" max="8087" width="10.625" style="123" customWidth="1"/>
    <col min="8088" max="8088" width="10.5" style="123" customWidth="1"/>
    <col min="8089" max="8089" width="11.625" style="123" customWidth="1"/>
    <col min="8090" max="8090" width="12.5" style="123" customWidth="1"/>
    <col min="8091" max="8091" width="12" style="123" customWidth="1"/>
    <col min="8092" max="8092" width="8.125" style="123" customWidth="1"/>
    <col min="8093" max="8093" width="12.125" style="123" customWidth="1"/>
    <col min="8094" max="8094" width="10.625" style="123" customWidth="1"/>
    <col min="8095" max="8095" width="12" style="123" customWidth="1"/>
    <col min="8096" max="8096" width="10.625" style="123" customWidth="1"/>
    <col min="8097" max="8097" width="11.875" style="123" customWidth="1"/>
    <col min="8098" max="8098" width="10.625" style="123" customWidth="1"/>
    <col min="8099" max="8104" width="14.375" style="123" customWidth="1"/>
    <col min="8105" max="8105" width="9.125" style="123" customWidth="1"/>
    <col min="8106" max="8106" width="14.625" style="123" customWidth="1"/>
    <col min="8107" max="8108" width="11.875" style="123" customWidth="1"/>
    <col min="8109" max="8109" width="13.5" style="123" customWidth="1"/>
    <col min="8110" max="8110" width="13.375" style="123" customWidth="1"/>
    <col min="8111" max="8111" width="14.5" style="123" customWidth="1"/>
    <col min="8112" max="8112" width="12.5" style="123" customWidth="1"/>
    <col min="8113" max="8113" width="12" style="123" customWidth="1"/>
    <col min="8114" max="8114" width="11" style="123" customWidth="1"/>
    <col min="8115" max="8115" width="12.625" style="123" customWidth="1"/>
    <col min="8116" max="8116" width="13.125" style="123" customWidth="1"/>
    <col min="8117" max="8117" width="11.375" style="123" customWidth="1"/>
    <col min="8118" max="8118" width="13.375" style="123" customWidth="1"/>
    <col min="8119" max="8119" width="15.375" style="123" customWidth="1"/>
    <col min="8120" max="8120" width="14.5" style="123" customWidth="1"/>
    <col min="8121" max="8121" width="13.125" style="123" customWidth="1"/>
    <col min="8122" max="8122" width="13" style="123" customWidth="1"/>
    <col min="8123" max="8123" width="12.625" style="123" customWidth="1"/>
    <col min="8124" max="8125" width="10.625" style="123" customWidth="1"/>
    <col min="8126" max="8126" width="11.375" style="123" customWidth="1"/>
    <col min="8127" max="8127" width="13.5" style="123" customWidth="1"/>
    <col min="8128" max="8338" width="8.5" style="123"/>
    <col min="8339" max="8339" width="4.125" style="123" customWidth="1"/>
    <col min="8340" max="8340" width="16.125" style="123" customWidth="1"/>
    <col min="8341" max="8341" width="14.375" style="123" customWidth="1"/>
    <col min="8342" max="8342" width="10.375" style="123" customWidth="1"/>
    <col min="8343" max="8343" width="10.625" style="123" customWidth="1"/>
    <col min="8344" max="8344" width="10.5" style="123" customWidth="1"/>
    <col min="8345" max="8345" width="11.625" style="123" customWidth="1"/>
    <col min="8346" max="8346" width="12.5" style="123" customWidth="1"/>
    <col min="8347" max="8347" width="12" style="123" customWidth="1"/>
    <col min="8348" max="8348" width="8.125" style="123" customWidth="1"/>
    <col min="8349" max="8349" width="12.125" style="123" customWidth="1"/>
    <col min="8350" max="8350" width="10.625" style="123" customWidth="1"/>
    <col min="8351" max="8351" width="12" style="123" customWidth="1"/>
    <col min="8352" max="8352" width="10.625" style="123" customWidth="1"/>
    <col min="8353" max="8353" width="11.875" style="123" customWidth="1"/>
    <col min="8354" max="8354" width="10.625" style="123" customWidth="1"/>
    <col min="8355" max="8360" width="14.375" style="123" customWidth="1"/>
    <col min="8361" max="8361" width="9.125" style="123" customWidth="1"/>
    <col min="8362" max="8362" width="14.625" style="123" customWidth="1"/>
    <col min="8363" max="8364" width="11.875" style="123" customWidth="1"/>
    <col min="8365" max="8365" width="13.5" style="123" customWidth="1"/>
    <col min="8366" max="8366" width="13.375" style="123" customWidth="1"/>
    <col min="8367" max="8367" width="14.5" style="123" customWidth="1"/>
    <col min="8368" max="8368" width="12.5" style="123" customWidth="1"/>
    <col min="8369" max="8369" width="12" style="123" customWidth="1"/>
    <col min="8370" max="8370" width="11" style="123" customWidth="1"/>
    <col min="8371" max="8371" width="12.625" style="123" customWidth="1"/>
    <col min="8372" max="8372" width="13.125" style="123" customWidth="1"/>
    <col min="8373" max="8373" width="11.375" style="123" customWidth="1"/>
    <col min="8374" max="8374" width="13.375" style="123" customWidth="1"/>
    <col min="8375" max="8375" width="15.375" style="123" customWidth="1"/>
    <col min="8376" max="8376" width="14.5" style="123" customWidth="1"/>
    <col min="8377" max="8377" width="13.125" style="123" customWidth="1"/>
    <col min="8378" max="8378" width="13" style="123" customWidth="1"/>
    <col min="8379" max="8379" width="12.625" style="123" customWidth="1"/>
    <col min="8380" max="8381" width="10.625" style="123" customWidth="1"/>
    <col min="8382" max="8382" width="11.375" style="123" customWidth="1"/>
    <col min="8383" max="8383" width="13.5" style="123" customWidth="1"/>
    <col min="8384" max="8594" width="8.5" style="123"/>
    <col min="8595" max="8595" width="4.125" style="123" customWidth="1"/>
    <col min="8596" max="8596" width="16.125" style="123" customWidth="1"/>
    <col min="8597" max="8597" width="14.375" style="123" customWidth="1"/>
    <col min="8598" max="8598" width="10.375" style="123" customWidth="1"/>
    <col min="8599" max="8599" width="10.625" style="123" customWidth="1"/>
    <col min="8600" max="8600" width="10.5" style="123" customWidth="1"/>
    <col min="8601" max="8601" width="11.625" style="123" customWidth="1"/>
    <col min="8602" max="8602" width="12.5" style="123" customWidth="1"/>
    <col min="8603" max="8603" width="12" style="123" customWidth="1"/>
    <col min="8604" max="8604" width="8.125" style="123" customWidth="1"/>
    <col min="8605" max="8605" width="12.125" style="123" customWidth="1"/>
    <col min="8606" max="8606" width="10.625" style="123" customWidth="1"/>
    <col min="8607" max="8607" width="12" style="123" customWidth="1"/>
    <col min="8608" max="8608" width="10.625" style="123" customWidth="1"/>
    <col min="8609" max="8609" width="11.875" style="123" customWidth="1"/>
    <col min="8610" max="8610" width="10.625" style="123" customWidth="1"/>
    <col min="8611" max="8616" width="14.375" style="123" customWidth="1"/>
    <col min="8617" max="8617" width="9.125" style="123" customWidth="1"/>
    <col min="8618" max="8618" width="14.625" style="123" customWidth="1"/>
    <col min="8619" max="8620" width="11.875" style="123" customWidth="1"/>
    <col min="8621" max="8621" width="13.5" style="123" customWidth="1"/>
    <col min="8622" max="8622" width="13.375" style="123" customWidth="1"/>
    <col min="8623" max="8623" width="14.5" style="123" customWidth="1"/>
    <col min="8624" max="8624" width="12.5" style="123" customWidth="1"/>
    <col min="8625" max="8625" width="12" style="123" customWidth="1"/>
    <col min="8626" max="8626" width="11" style="123" customWidth="1"/>
    <col min="8627" max="8627" width="12.625" style="123" customWidth="1"/>
    <col min="8628" max="8628" width="13.125" style="123" customWidth="1"/>
    <col min="8629" max="8629" width="11.375" style="123" customWidth="1"/>
    <col min="8630" max="8630" width="13.375" style="123" customWidth="1"/>
    <col min="8631" max="8631" width="15.375" style="123" customWidth="1"/>
    <col min="8632" max="8632" width="14.5" style="123" customWidth="1"/>
    <col min="8633" max="8633" width="13.125" style="123" customWidth="1"/>
    <col min="8634" max="8634" width="13" style="123" customWidth="1"/>
    <col min="8635" max="8635" width="12.625" style="123" customWidth="1"/>
    <col min="8636" max="8637" width="10.625" style="123" customWidth="1"/>
    <col min="8638" max="8638" width="11.375" style="123" customWidth="1"/>
    <col min="8639" max="8639" width="13.5" style="123" customWidth="1"/>
    <col min="8640" max="8850" width="8.5" style="123"/>
    <col min="8851" max="8851" width="4.125" style="123" customWidth="1"/>
    <col min="8852" max="8852" width="16.125" style="123" customWidth="1"/>
    <col min="8853" max="8853" width="14.375" style="123" customWidth="1"/>
    <col min="8854" max="8854" width="10.375" style="123" customWidth="1"/>
    <col min="8855" max="8855" width="10.625" style="123" customWidth="1"/>
    <col min="8856" max="8856" width="10.5" style="123" customWidth="1"/>
    <col min="8857" max="8857" width="11.625" style="123" customWidth="1"/>
    <col min="8858" max="8858" width="12.5" style="123" customWidth="1"/>
    <col min="8859" max="8859" width="12" style="123" customWidth="1"/>
    <col min="8860" max="8860" width="8.125" style="123" customWidth="1"/>
    <col min="8861" max="8861" width="12.125" style="123" customWidth="1"/>
    <col min="8862" max="8862" width="10.625" style="123" customWidth="1"/>
    <col min="8863" max="8863" width="12" style="123" customWidth="1"/>
    <col min="8864" max="8864" width="10.625" style="123" customWidth="1"/>
    <col min="8865" max="8865" width="11.875" style="123" customWidth="1"/>
    <col min="8866" max="8866" width="10.625" style="123" customWidth="1"/>
    <col min="8867" max="8872" width="14.375" style="123" customWidth="1"/>
    <col min="8873" max="8873" width="9.125" style="123" customWidth="1"/>
    <col min="8874" max="8874" width="14.625" style="123" customWidth="1"/>
    <col min="8875" max="8876" width="11.875" style="123" customWidth="1"/>
    <col min="8877" max="8877" width="13.5" style="123" customWidth="1"/>
    <col min="8878" max="8878" width="13.375" style="123" customWidth="1"/>
    <col min="8879" max="8879" width="14.5" style="123" customWidth="1"/>
    <col min="8880" max="8880" width="12.5" style="123" customWidth="1"/>
    <col min="8881" max="8881" width="12" style="123" customWidth="1"/>
    <col min="8882" max="8882" width="11" style="123" customWidth="1"/>
    <col min="8883" max="8883" width="12.625" style="123" customWidth="1"/>
    <col min="8884" max="8884" width="13.125" style="123" customWidth="1"/>
    <col min="8885" max="8885" width="11.375" style="123" customWidth="1"/>
    <col min="8886" max="8886" width="13.375" style="123" customWidth="1"/>
    <col min="8887" max="8887" width="15.375" style="123" customWidth="1"/>
    <col min="8888" max="8888" width="14.5" style="123" customWidth="1"/>
    <col min="8889" max="8889" width="13.125" style="123" customWidth="1"/>
    <col min="8890" max="8890" width="13" style="123" customWidth="1"/>
    <col min="8891" max="8891" width="12.625" style="123" customWidth="1"/>
    <col min="8892" max="8893" width="10.625" style="123" customWidth="1"/>
    <col min="8894" max="8894" width="11.375" style="123" customWidth="1"/>
    <col min="8895" max="8895" width="13.5" style="123" customWidth="1"/>
    <col min="8896" max="9106" width="8.5" style="123"/>
    <col min="9107" max="9107" width="4.125" style="123" customWidth="1"/>
    <col min="9108" max="9108" width="16.125" style="123" customWidth="1"/>
    <col min="9109" max="9109" width="14.375" style="123" customWidth="1"/>
    <col min="9110" max="9110" width="10.375" style="123" customWidth="1"/>
    <col min="9111" max="9111" width="10.625" style="123" customWidth="1"/>
    <col min="9112" max="9112" width="10.5" style="123" customWidth="1"/>
    <col min="9113" max="9113" width="11.625" style="123" customWidth="1"/>
    <col min="9114" max="9114" width="12.5" style="123" customWidth="1"/>
    <col min="9115" max="9115" width="12" style="123" customWidth="1"/>
    <col min="9116" max="9116" width="8.125" style="123" customWidth="1"/>
    <col min="9117" max="9117" width="12.125" style="123" customWidth="1"/>
    <col min="9118" max="9118" width="10.625" style="123" customWidth="1"/>
    <col min="9119" max="9119" width="12" style="123" customWidth="1"/>
    <col min="9120" max="9120" width="10.625" style="123" customWidth="1"/>
    <col min="9121" max="9121" width="11.875" style="123" customWidth="1"/>
    <col min="9122" max="9122" width="10.625" style="123" customWidth="1"/>
    <col min="9123" max="9128" width="14.375" style="123" customWidth="1"/>
    <col min="9129" max="9129" width="9.125" style="123" customWidth="1"/>
    <col min="9130" max="9130" width="14.625" style="123" customWidth="1"/>
    <col min="9131" max="9132" width="11.875" style="123" customWidth="1"/>
    <col min="9133" max="9133" width="13.5" style="123" customWidth="1"/>
    <col min="9134" max="9134" width="13.375" style="123" customWidth="1"/>
    <col min="9135" max="9135" width="14.5" style="123" customWidth="1"/>
    <col min="9136" max="9136" width="12.5" style="123" customWidth="1"/>
    <col min="9137" max="9137" width="12" style="123" customWidth="1"/>
    <col min="9138" max="9138" width="11" style="123" customWidth="1"/>
    <col min="9139" max="9139" width="12.625" style="123" customWidth="1"/>
    <col min="9140" max="9140" width="13.125" style="123" customWidth="1"/>
    <col min="9141" max="9141" width="11.375" style="123" customWidth="1"/>
    <col min="9142" max="9142" width="13.375" style="123" customWidth="1"/>
    <col min="9143" max="9143" width="15.375" style="123" customWidth="1"/>
    <col min="9144" max="9144" width="14.5" style="123" customWidth="1"/>
    <col min="9145" max="9145" width="13.125" style="123" customWidth="1"/>
    <col min="9146" max="9146" width="13" style="123" customWidth="1"/>
    <col min="9147" max="9147" width="12.625" style="123" customWidth="1"/>
    <col min="9148" max="9149" width="10.625" style="123" customWidth="1"/>
    <col min="9150" max="9150" width="11.375" style="123" customWidth="1"/>
    <col min="9151" max="9151" width="13.5" style="123" customWidth="1"/>
    <col min="9152" max="9362" width="8.5" style="123"/>
    <col min="9363" max="9363" width="4.125" style="123" customWidth="1"/>
    <col min="9364" max="9364" width="16.125" style="123" customWidth="1"/>
    <col min="9365" max="9365" width="14.375" style="123" customWidth="1"/>
    <col min="9366" max="9366" width="10.375" style="123" customWidth="1"/>
    <col min="9367" max="9367" width="10.625" style="123" customWidth="1"/>
    <col min="9368" max="9368" width="10.5" style="123" customWidth="1"/>
    <col min="9369" max="9369" width="11.625" style="123" customWidth="1"/>
    <col min="9370" max="9370" width="12.5" style="123" customWidth="1"/>
    <col min="9371" max="9371" width="12" style="123" customWidth="1"/>
    <col min="9372" max="9372" width="8.125" style="123" customWidth="1"/>
    <col min="9373" max="9373" width="12.125" style="123" customWidth="1"/>
    <col min="9374" max="9374" width="10.625" style="123" customWidth="1"/>
    <col min="9375" max="9375" width="12" style="123" customWidth="1"/>
    <col min="9376" max="9376" width="10.625" style="123" customWidth="1"/>
    <col min="9377" max="9377" width="11.875" style="123" customWidth="1"/>
    <col min="9378" max="9378" width="10.625" style="123" customWidth="1"/>
    <col min="9379" max="9384" width="14.375" style="123" customWidth="1"/>
    <col min="9385" max="9385" width="9.125" style="123" customWidth="1"/>
    <col min="9386" max="9386" width="14.625" style="123" customWidth="1"/>
    <col min="9387" max="9388" width="11.875" style="123" customWidth="1"/>
    <col min="9389" max="9389" width="13.5" style="123" customWidth="1"/>
    <col min="9390" max="9390" width="13.375" style="123" customWidth="1"/>
    <col min="9391" max="9391" width="14.5" style="123" customWidth="1"/>
    <col min="9392" max="9392" width="12.5" style="123" customWidth="1"/>
    <col min="9393" max="9393" width="12" style="123" customWidth="1"/>
    <col min="9394" max="9394" width="11" style="123" customWidth="1"/>
    <col min="9395" max="9395" width="12.625" style="123" customWidth="1"/>
    <col min="9396" max="9396" width="13.125" style="123" customWidth="1"/>
    <col min="9397" max="9397" width="11.375" style="123" customWidth="1"/>
    <col min="9398" max="9398" width="13.375" style="123" customWidth="1"/>
    <col min="9399" max="9399" width="15.375" style="123" customWidth="1"/>
    <col min="9400" max="9400" width="14.5" style="123" customWidth="1"/>
    <col min="9401" max="9401" width="13.125" style="123" customWidth="1"/>
    <col min="9402" max="9402" width="13" style="123" customWidth="1"/>
    <col min="9403" max="9403" width="12.625" style="123" customWidth="1"/>
    <col min="9404" max="9405" width="10.625" style="123" customWidth="1"/>
    <col min="9406" max="9406" width="11.375" style="123" customWidth="1"/>
    <col min="9407" max="9407" width="13.5" style="123" customWidth="1"/>
    <col min="9408" max="9618" width="8.5" style="123"/>
    <col min="9619" max="9619" width="4.125" style="123" customWidth="1"/>
    <col min="9620" max="9620" width="16.125" style="123" customWidth="1"/>
    <col min="9621" max="9621" width="14.375" style="123" customWidth="1"/>
    <col min="9622" max="9622" width="10.375" style="123" customWidth="1"/>
    <col min="9623" max="9623" width="10.625" style="123" customWidth="1"/>
    <col min="9624" max="9624" width="10.5" style="123" customWidth="1"/>
    <col min="9625" max="9625" width="11.625" style="123" customWidth="1"/>
    <col min="9626" max="9626" width="12.5" style="123" customWidth="1"/>
    <col min="9627" max="9627" width="12" style="123" customWidth="1"/>
    <col min="9628" max="9628" width="8.125" style="123" customWidth="1"/>
    <col min="9629" max="9629" width="12.125" style="123" customWidth="1"/>
    <col min="9630" max="9630" width="10.625" style="123" customWidth="1"/>
    <col min="9631" max="9631" width="12" style="123" customWidth="1"/>
    <col min="9632" max="9632" width="10.625" style="123" customWidth="1"/>
    <col min="9633" max="9633" width="11.875" style="123" customWidth="1"/>
    <col min="9634" max="9634" width="10.625" style="123" customWidth="1"/>
    <col min="9635" max="9640" width="14.375" style="123" customWidth="1"/>
    <col min="9641" max="9641" width="9.125" style="123" customWidth="1"/>
    <col min="9642" max="9642" width="14.625" style="123" customWidth="1"/>
    <col min="9643" max="9644" width="11.875" style="123" customWidth="1"/>
    <col min="9645" max="9645" width="13.5" style="123" customWidth="1"/>
    <col min="9646" max="9646" width="13.375" style="123" customWidth="1"/>
    <col min="9647" max="9647" width="14.5" style="123" customWidth="1"/>
    <col min="9648" max="9648" width="12.5" style="123" customWidth="1"/>
    <col min="9649" max="9649" width="12" style="123" customWidth="1"/>
    <col min="9650" max="9650" width="11" style="123" customWidth="1"/>
    <col min="9651" max="9651" width="12.625" style="123" customWidth="1"/>
    <col min="9652" max="9652" width="13.125" style="123" customWidth="1"/>
    <col min="9653" max="9653" width="11.375" style="123" customWidth="1"/>
    <col min="9654" max="9654" width="13.375" style="123" customWidth="1"/>
    <col min="9655" max="9655" width="15.375" style="123" customWidth="1"/>
    <col min="9656" max="9656" width="14.5" style="123" customWidth="1"/>
    <col min="9657" max="9657" width="13.125" style="123" customWidth="1"/>
    <col min="9658" max="9658" width="13" style="123" customWidth="1"/>
    <col min="9659" max="9659" width="12.625" style="123" customWidth="1"/>
    <col min="9660" max="9661" width="10.625" style="123" customWidth="1"/>
    <col min="9662" max="9662" width="11.375" style="123" customWidth="1"/>
    <col min="9663" max="9663" width="13.5" style="123" customWidth="1"/>
    <col min="9664" max="9874" width="8.5" style="123"/>
    <col min="9875" max="9875" width="4.125" style="123" customWidth="1"/>
    <col min="9876" max="9876" width="16.125" style="123" customWidth="1"/>
    <col min="9877" max="9877" width="14.375" style="123" customWidth="1"/>
    <col min="9878" max="9878" width="10.375" style="123" customWidth="1"/>
    <col min="9879" max="9879" width="10.625" style="123" customWidth="1"/>
    <col min="9880" max="9880" width="10.5" style="123" customWidth="1"/>
    <col min="9881" max="9881" width="11.625" style="123" customWidth="1"/>
    <col min="9882" max="9882" width="12.5" style="123" customWidth="1"/>
    <col min="9883" max="9883" width="12" style="123" customWidth="1"/>
    <col min="9884" max="9884" width="8.125" style="123" customWidth="1"/>
    <col min="9885" max="9885" width="12.125" style="123" customWidth="1"/>
    <col min="9886" max="9886" width="10.625" style="123" customWidth="1"/>
    <col min="9887" max="9887" width="12" style="123" customWidth="1"/>
    <col min="9888" max="9888" width="10.625" style="123" customWidth="1"/>
    <col min="9889" max="9889" width="11.875" style="123" customWidth="1"/>
    <col min="9890" max="9890" width="10.625" style="123" customWidth="1"/>
    <col min="9891" max="9896" width="14.375" style="123" customWidth="1"/>
    <col min="9897" max="9897" width="9.125" style="123" customWidth="1"/>
    <col min="9898" max="9898" width="14.625" style="123" customWidth="1"/>
    <col min="9899" max="9900" width="11.875" style="123" customWidth="1"/>
    <col min="9901" max="9901" width="13.5" style="123" customWidth="1"/>
    <col min="9902" max="9902" width="13.375" style="123" customWidth="1"/>
    <col min="9903" max="9903" width="14.5" style="123" customWidth="1"/>
    <col min="9904" max="9904" width="12.5" style="123" customWidth="1"/>
    <col min="9905" max="9905" width="12" style="123" customWidth="1"/>
    <col min="9906" max="9906" width="11" style="123" customWidth="1"/>
    <col min="9907" max="9907" width="12.625" style="123" customWidth="1"/>
    <col min="9908" max="9908" width="13.125" style="123" customWidth="1"/>
    <col min="9909" max="9909" width="11.375" style="123" customWidth="1"/>
    <col min="9910" max="9910" width="13.375" style="123" customWidth="1"/>
    <col min="9911" max="9911" width="15.375" style="123" customWidth="1"/>
    <col min="9912" max="9912" width="14.5" style="123" customWidth="1"/>
    <col min="9913" max="9913" width="13.125" style="123" customWidth="1"/>
    <col min="9914" max="9914" width="13" style="123" customWidth="1"/>
    <col min="9915" max="9915" width="12.625" style="123" customWidth="1"/>
    <col min="9916" max="9917" width="10.625" style="123" customWidth="1"/>
    <col min="9918" max="9918" width="11.375" style="123" customWidth="1"/>
    <col min="9919" max="9919" width="13.5" style="123" customWidth="1"/>
    <col min="9920" max="10130" width="8.5" style="123"/>
    <col min="10131" max="10131" width="4.125" style="123" customWidth="1"/>
    <col min="10132" max="10132" width="16.125" style="123" customWidth="1"/>
    <col min="10133" max="10133" width="14.375" style="123" customWidth="1"/>
    <col min="10134" max="10134" width="10.375" style="123" customWidth="1"/>
    <col min="10135" max="10135" width="10.625" style="123" customWidth="1"/>
    <col min="10136" max="10136" width="10.5" style="123" customWidth="1"/>
    <col min="10137" max="10137" width="11.625" style="123" customWidth="1"/>
    <col min="10138" max="10138" width="12.5" style="123" customWidth="1"/>
    <col min="10139" max="10139" width="12" style="123" customWidth="1"/>
    <col min="10140" max="10140" width="8.125" style="123" customWidth="1"/>
    <col min="10141" max="10141" width="12.125" style="123" customWidth="1"/>
    <col min="10142" max="10142" width="10.625" style="123" customWidth="1"/>
    <col min="10143" max="10143" width="12" style="123" customWidth="1"/>
    <col min="10144" max="10144" width="10.625" style="123" customWidth="1"/>
    <col min="10145" max="10145" width="11.875" style="123" customWidth="1"/>
    <col min="10146" max="10146" width="10.625" style="123" customWidth="1"/>
    <col min="10147" max="10152" width="14.375" style="123" customWidth="1"/>
    <col min="10153" max="10153" width="9.125" style="123" customWidth="1"/>
    <col min="10154" max="10154" width="14.625" style="123" customWidth="1"/>
    <col min="10155" max="10156" width="11.875" style="123" customWidth="1"/>
    <col min="10157" max="10157" width="13.5" style="123" customWidth="1"/>
    <col min="10158" max="10158" width="13.375" style="123" customWidth="1"/>
    <col min="10159" max="10159" width="14.5" style="123" customWidth="1"/>
    <col min="10160" max="10160" width="12.5" style="123" customWidth="1"/>
    <col min="10161" max="10161" width="12" style="123" customWidth="1"/>
    <col min="10162" max="10162" width="11" style="123" customWidth="1"/>
    <col min="10163" max="10163" width="12.625" style="123" customWidth="1"/>
    <col min="10164" max="10164" width="13.125" style="123" customWidth="1"/>
    <col min="10165" max="10165" width="11.375" style="123" customWidth="1"/>
    <col min="10166" max="10166" width="13.375" style="123" customWidth="1"/>
    <col min="10167" max="10167" width="15.375" style="123" customWidth="1"/>
    <col min="10168" max="10168" width="14.5" style="123" customWidth="1"/>
    <col min="10169" max="10169" width="13.125" style="123" customWidth="1"/>
    <col min="10170" max="10170" width="13" style="123" customWidth="1"/>
    <col min="10171" max="10171" width="12.625" style="123" customWidth="1"/>
    <col min="10172" max="10173" width="10.625" style="123" customWidth="1"/>
    <col min="10174" max="10174" width="11.375" style="123" customWidth="1"/>
    <col min="10175" max="10175" width="13.5" style="123" customWidth="1"/>
    <col min="10176" max="10386" width="8.5" style="123"/>
    <col min="10387" max="10387" width="4.125" style="123" customWidth="1"/>
    <col min="10388" max="10388" width="16.125" style="123" customWidth="1"/>
    <col min="10389" max="10389" width="14.375" style="123" customWidth="1"/>
    <col min="10390" max="10390" width="10.375" style="123" customWidth="1"/>
    <col min="10391" max="10391" width="10.625" style="123" customWidth="1"/>
    <col min="10392" max="10392" width="10.5" style="123" customWidth="1"/>
    <col min="10393" max="10393" width="11.625" style="123" customWidth="1"/>
    <col min="10394" max="10394" width="12.5" style="123" customWidth="1"/>
    <col min="10395" max="10395" width="12" style="123" customWidth="1"/>
    <col min="10396" max="10396" width="8.125" style="123" customWidth="1"/>
    <col min="10397" max="10397" width="12.125" style="123" customWidth="1"/>
    <col min="10398" max="10398" width="10.625" style="123" customWidth="1"/>
    <col min="10399" max="10399" width="12" style="123" customWidth="1"/>
    <col min="10400" max="10400" width="10.625" style="123" customWidth="1"/>
    <col min="10401" max="10401" width="11.875" style="123" customWidth="1"/>
    <col min="10402" max="10402" width="10.625" style="123" customWidth="1"/>
    <col min="10403" max="10408" width="14.375" style="123" customWidth="1"/>
    <col min="10409" max="10409" width="9.125" style="123" customWidth="1"/>
    <col min="10410" max="10410" width="14.625" style="123" customWidth="1"/>
    <col min="10411" max="10412" width="11.875" style="123" customWidth="1"/>
    <col min="10413" max="10413" width="13.5" style="123" customWidth="1"/>
    <col min="10414" max="10414" width="13.375" style="123" customWidth="1"/>
    <col min="10415" max="10415" width="14.5" style="123" customWidth="1"/>
    <col min="10416" max="10416" width="12.5" style="123" customWidth="1"/>
    <col min="10417" max="10417" width="12" style="123" customWidth="1"/>
    <col min="10418" max="10418" width="11" style="123" customWidth="1"/>
    <col min="10419" max="10419" width="12.625" style="123" customWidth="1"/>
    <col min="10420" max="10420" width="13.125" style="123" customWidth="1"/>
    <col min="10421" max="10421" width="11.375" style="123" customWidth="1"/>
    <col min="10422" max="10422" width="13.375" style="123" customWidth="1"/>
    <col min="10423" max="10423" width="15.375" style="123" customWidth="1"/>
    <col min="10424" max="10424" width="14.5" style="123" customWidth="1"/>
    <col min="10425" max="10425" width="13.125" style="123" customWidth="1"/>
    <col min="10426" max="10426" width="13" style="123" customWidth="1"/>
    <col min="10427" max="10427" width="12.625" style="123" customWidth="1"/>
    <col min="10428" max="10429" width="10.625" style="123" customWidth="1"/>
    <col min="10430" max="10430" width="11.375" style="123" customWidth="1"/>
    <col min="10431" max="10431" width="13.5" style="123" customWidth="1"/>
    <col min="10432" max="10642" width="8.5" style="123"/>
    <col min="10643" max="10643" width="4.125" style="123" customWidth="1"/>
    <col min="10644" max="10644" width="16.125" style="123" customWidth="1"/>
    <col min="10645" max="10645" width="14.375" style="123" customWidth="1"/>
    <col min="10646" max="10646" width="10.375" style="123" customWidth="1"/>
    <col min="10647" max="10647" width="10.625" style="123" customWidth="1"/>
    <col min="10648" max="10648" width="10.5" style="123" customWidth="1"/>
    <col min="10649" max="10649" width="11.625" style="123" customWidth="1"/>
    <col min="10650" max="10650" width="12.5" style="123" customWidth="1"/>
    <col min="10651" max="10651" width="12" style="123" customWidth="1"/>
    <col min="10652" max="10652" width="8.125" style="123" customWidth="1"/>
    <col min="10653" max="10653" width="12.125" style="123" customWidth="1"/>
    <col min="10654" max="10654" width="10.625" style="123" customWidth="1"/>
    <col min="10655" max="10655" width="12" style="123" customWidth="1"/>
    <col min="10656" max="10656" width="10.625" style="123" customWidth="1"/>
    <col min="10657" max="10657" width="11.875" style="123" customWidth="1"/>
    <col min="10658" max="10658" width="10.625" style="123" customWidth="1"/>
    <col min="10659" max="10664" width="14.375" style="123" customWidth="1"/>
    <col min="10665" max="10665" width="9.125" style="123" customWidth="1"/>
    <col min="10666" max="10666" width="14.625" style="123" customWidth="1"/>
    <col min="10667" max="10668" width="11.875" style="123" customWidth="1"/>
    <col min="10669" max="10669" width="13.5" style="123" customWidth="1"/>
    <col min="10670" max="10670" width="13.375" style="123" customWidth="1"/>
    <col min="10671" max="10671" width="14.5" style="123" customWidth="1"/>
    <col min="10672" max="10672" width="12.5" style="123" customWidth="1"/>
    <col min="10673" max="10673" width="12" style="123" customWidth="1"/>
    <col min="10674" max="10674" width="11" style="123" customWidth="1"/>
    <col min="10675" max="10675" width="12.625" style="123" customWidth="1"/>
    <col min="10676" max="10676" width="13.125" style="123" customWidth="1"/>
    <col min="10677" max="10677" width="11.375" style="123" customWidth="1"/>
    <col min="10678" max="10678" width="13.375" style="123" customWidth="1"/>
    <col min="10679" max="10679" width="15.375" style="123" customWidth="1"/>
    <col min="10680" max="10680" width="14.5" style="123" customWidth="1"/>
    <col min="10681" max="10681" width="13.125" style="123" customWidth="1"/>
    <col min="10682" max="10682" width="13" style="123" customWidth="1"/>
    <col min="10683" max="10683" width="12.625" style="123" customWidth="1"/>
    <col min="10684" max="10685" width="10.625" style="123" customWidth="1"/>
    <col min="10686" max="10686" width="11.375" style="123" customWidth="1"/>
    <col min="10687" max="10687" width="13.5" style="123" customWidth="1"/>
    <col min="10688" max="10898" width="8.5" style="123"/>
    <col min="10899" max="10899" width="4.125" style="123" customWidth="1"/>
    <col min="10900" max="10900" width="16.125" style="123" customWidth="1"/>
    <col min="10901" max="10901" width="14.375" style="123" customWidth="1"/>
    <col min="10902" max="10902" width="10.375" style="123" customWidth="1"/>
    <col min="10903" max="10903" width="10.625" style="123" customWidth="1"/>
    <col min="10904" max="10904" width="10.5" style="123" customWidth="1"/>
    <col min="10905" max="10905" width="11.625" style="123" customWidth="1"/>
    <col min="10906" max="10906" width="12.5" style="123" customWidth="1"/>
    <col min="10907" max="10907" width="12" style="123" customWidth="1"/>
    <col min="10908" max="10908" width="8.125" style="123" customWidth="1"/>
    <col min="10909" max="10909" width="12.125" style="123" customWidth="1"/>
    <col min="10910" max="10910" width="10.625" style="123" customWidth="1"/>
    <col min="10911" max="10911" width="12" style="123" customWidth="1"/>
    <col min="10912" max="10912" width="10.625" style="123" customWidth="1"/>
    <col min="10913" max="10913" width="11.875" style="123" customWidth="1"/>
    <col min="10914" max="10914" width="10.625" style="123" customWidth="1"/>
    <col min="10915" max="10920" width="14.375" style="123" customWidth="1"/>
    <col min="10921" max="10921" width="9.125" style="123" customWidth="1"/>
    <col min="10922" max="10922" width="14.625" style="123" customWidth="1"/>
    <col min="10923" max="10924" width="11.875" style="123" customWidth="1"/>
    <col min="10925" max="10925" width="13.5" style="123" customWidth="1"/>
    <col min="10926" max="10926" width="13.375" style="123" customWidth="1"/>
    <col min="10927" max="10927" width="14.5" style="123" customWidth="1"/>
    <col min="10928" max="10928" width="12.5" style="123" customWidth="1"/>
    <col min="10929" max="10929" width="12" style="123" customWidth="1"/>
    <col min="10930" max="10930" width="11" style="123" customWidth="1"/>
    <col min="10931" max="10931" width="12.625" style="123" customWidth="1"/>
    <col min="10932" max="10932" width="13.125" style="123" customWidth="1"/>
    <col min="10933" max="10933" width="11.375" style="123" customWidth="1"/>
    <col min="10934" max="10934" width="13.375" style="123" customWidth="1"/>
    <col min="10935" max="10935" width="15.375" style="123" customWidth="1"/>
    <col min="10936" max="10936" width="14.5" style="123" customWidth="1"/>
    <col min="10937" max="10937" width="13.125" style="123" customWidth="1"/>
    <col min="10938" max="10938" width="13" style="123" customWidth="1"/>
    <col min="10939" max="10939" width="12.625" style="123" customWidth="1"/>
    <col min="10940" max="10941" width="10.625" style="123" customWidth="1"/>
    <col min="10942" max="10942" width="11.375" style="123" customWidth="1"/>
    <col min="10943" max="10943" width="13.5" style="123" customWidth="1"/>
    <col min="10944" max="11154" width="8.5" style="123"/>
    <col min="11155" max="11155" width="4.125" style="123" customWidth="1"/>
    <col min="11156" max="11156" width="16.125" style="123" customWidth="1"/>
    <col min="11157" max="11157" width="14.375" style="123" customWidth="1"/>
    <col min="11158" max="11158" width="10.375" style="123" customWidth="1"/>
    <col min="11159" max="11159" width="10.625" style="123" customWidth="1"/>
    <col min="11160" max="11160" width="10.5" style="123" customWidth="1"/>
    <col min="11161" max="11161" width="11.625" style="123" customWidth="1"/>
    <col min="11162" max="11162" width="12.5" style="123" customWidth="1"/>
    <col min="11163" max="11163" width="12" style="123" customWidth="1"/>
    <col min="11164" max="11164" width="8.125" style="123" customWidth="1"/>
    <col min="11165" max="11165" width="12.125" style="123" customWidth="1"/>
    <col min="11166" max="11166" width="10.625" style="123" customWidth="1"/>
    <col min="11167" max="11167" width="12" style="123" customWidth="1"/>
    <col min="11168" max="11168" width="10.625" style="123" customWidth="1"/>
    <col min="11169" max="11169" width="11.875" style="123" customWidth="1"/>
    <col min="11170" max="11170" width="10.625" style="123" customWidth="1"/>
    <col min="11171" max="11176" width="14.375" style="123" customWidth="1"/>
    <col min="11177" max="11177" width="9.125" style="123" customWidth="1"/>
    <col min="11178" max="11178" width="14.625" style="123" customWidth="1"/>
    <col min="11179" max="11180" width="11.875" style="123" customWidth="1"/>
    <col min="11181" max="11181" width="13.5" style="123" customWidth="1"/>
    <col min="11182" max="11182" width="13.375" style="123" customWidth="1"/>
    <col min="11183" max="11183" width="14.5" style="123" customWidth="1"/>
    <col min="11184" max="11184" width="12.5" style="123" customWidth="1"/>
    <col min="11185" max="11185" width="12" style="123" customWidth="1"/>
    <col min="11186" max="11186" width="11" style="123" customWidth="1"/>
    <col min="11187" max="11187" width="12.625" style="123" customWidth="1"/>
    <col min="11188" max="11188" width="13.125" style="123" customWidth="1"/>
    <col min="11189" max="11189" width="11.375" style="123" customWidth="1"/>
    <col min="11190" max="11190" width="13.375" style="123" customWidth="1"/>
    <col min="11191" max="11191" width="15.375" style="123" customWidth="1"/>
    <col min="11192" max="11192" width="14.5" style="123" customWidth="1"/>
    <col min="11193" max="11193" width="13.125" style="123" customWidth="1"/>
    <col min="11194" max="11194" width="13" style="123" customWidth="1"/>
    <col min="11195" max="11195" width="12.625" style="123" customWidth="1"/>
    <col min="11196" max="11197" width="10.625" style="123" customWidth="1"/>
    <col min="11198" max="11198" width="11.375" style="123" customWidth="1"/>
    <col min="11199" max="11199" width="13.5" style="123" customWidth="1"/>
    <col min="11200" max="11410" width="8.5" style="123"/>
    <col min="11411" max="11411" width="4.125" style="123" customWidth="1"/>
    <col min="11412" max="11412" width="16.125" style="123" customWidth="1"/>
    <col min="11413" max="11413" width="14.375" style="123" customWidth="1"/>
    <col min="11414" max="11414" width="10.375" style="123" customWidth="1"/>
    <col min="11415" max="11415" width="10.625" style="123" customWidth="1"/>
    <col min="11416" max="11416" width="10.5" style="123" customWidth="1"/>
    <col min="11417" max="11417" width="11.625" style="123" customWidth="1"/>
    <col min="11418" max="11418" width="12.5" style="123" customWidth="1"/>
    <col min="11419" max="11419" width="12" style="123" customWidth="1"/>
    <col min="11420" max="11420" width="8.125" style="123" customWidth="1"/>
    <col min="11421" max="11421" width="12.125" style="123" customWidth="1"/>
    <col min="11422" max="11422" width="10.625" style="123" customWidth="1"/>
    <col min="11423" max="11423" width="12" style="123" customWidth="1"/>
    <col min="11424" max="11424" width="10.625" style="123" customWidth="1"/>
    <col min="11425" max="11425" width="11.875" style="123" customWidth="1"/>
    <col min="11426" max="11426" width="10.625" style="123" customWidth="1"/>
    <col min="11427" max="11432" width="14.375" style="123" customWidth="1"/>
    <col min="11433" max="11433" width="9.125" style="123" customWidth="1"/>
    <col min="11434" max="11434" width="14.625" style="123" customWidth="1"/>
    <col min="11435" max="11436" width="11.875" style="123" customWidth="1"/>
    <col min="11437" max="11437" width="13.5" style="123" customWidth="1"/>
    <col min="11438" max="11438" width="13.375" style="123" customWidth="1"/>
    <col min="11439" max="11439" width="14.5" style="123" customWidth="1"/>
    <col min="11440" max="11440" width="12.5" style="123" customWidth="1"/>
    <col min="11441" max="11441" width="12" style="123" customWidth="1"/>
    <col min="11442" max="11442" width="11" style="123" customWidth="1"/>
    <col min="11443" max="11443" width="12.625" style="123" customWidth="1"/>
    <col min="11444" max="11444" width="13.125" style="123" customWidth="1"/>
    <col min="11445" max="11445" width="11.375" style="123" customWidth="1"/>
    <col min="11446" max="11446" width="13.375" style="123" customWidth="1"/>
    <col min="11447" max="11447" width="15.375" style="123" customWidth="1"/>
    <col min="11448" max="11448" width="14.5" style="123" customWidth="1"/>
    <col min="11449" max="11449" width="13.125" style="123" customWidth="1"/>
    <col min="11450" max="11450" width="13" style="123" customWidth="1"/>
    <col min="11451" max="11451" width="12.625" style="123" customWidth="1"/>
    <col min="11452" max="11453" width="10.625" style="123" customWidth="1"/>
    <col min="11454" max="11454" width="11.375" style="123" customWidth="1"/>
    <col min="11455" max="11455" width="13.5" style="123" customWidth="1"/>
    <col min="11456" max="11666" width="8.5" style="123"/>
    <col min="11667" max="11667" width="4.125" style="123" customWidth="1"/>
    <col min="11668" max="11668" width="16.125" style="123" customWidth="1"/>
    <col min="11669" max="11669" width="14.375" style="123" customWidth="1"/>
    <col min="11670" max="11670" width="10.375" style="123" customWidth="1"/>
    <col min="11671" max="11671" width="10.625" style="123" customWidth="1"/>
    <col min="11672" max="11672" width="10.5" style="123" customWidth="1"/>
    <col min="11673" max="11673" width="11.625" style="123" customWidth="1"/>
    <col min="11674" max="11674" width="12.5" style="123" customWidth="1"/>
    <col min="11675" max="11675" width="12" style="123" customWidth="1"/>
    <col min="11676" max="11676" width="8.125" style="123" customWidth="1"/>
    <col min="11677" max="11677" width="12.125" style="123" customWidth="1"/>
    <col min="11678" max="11678" width="10.625" style="123" customWidth="1"/>
    <col min="11679" max="11679" width="12" style="123" customWidth="1"/>
    <col min="11680" max="11680" width="10.625" style="123" customWidth="1"/>
    <col min="11681" max="11681" width="11.875" style="123" customWidth="1"/>
    <col min="11682" max="11682" width="10.625" style="123" customWidth="1"/>
    <col min="11683" max="11688" width="14.375" style="123" customWidth="1"/>
    <col min="11689" max="11689" width="9.125" style="123" customWidth="1"/>
    <col min="11690" max="11690" width="14.625" style="123" customWidth="1"/>
    <col min="11691" max="11692" width="11.875" style="123" customWidth="1"/>
    <col min="11693" max="11693" width="13.5" style="123" customWidth="1"/>
    <col min="11694" max="11694" width="13.375" style="123" customWidth="1"/>
    <col min="11695" max="11695" width="14.5" style="123" customWidth="1"/>
    <col min="11696" max="11696" width="12.5" style="123" customWidth="1"/>
    <col min="11697" max="11697" width="12" style="123" customWidth="1"/>
    <col min="11698" max="11698" width="11" style="123" customWidth="1"/>
    <col min="11699" max="11699" width="12.625" style="123" customWidth="1"/>
    <col min="11700" max="11700" width="13.125" style="123" customWidth="1"/>
    <col min="11701" max="11701" width="11.375" style="123" customWidth="1"/>
    <col min="11702" max="11702" width="13.375" style="123" customWidth="1"/>
    <col min="11703" max="11703" width="15.375" style="123" customWidth="1"/>
    <col min="11704" max="11704" width="14.5" style="123" customWidth="1"/>
    <col min="11705" max="11705" width="13.125" style="123" customWidth="1"/>
    <col min="11706" max="11706" width="13" style="123" customWidth="1"/>
    <col min="11707" max="11707" width="12.625" style="123" customWidth="1"/>
    <col min="11708" max="11709" width="10.625" style="123" customWidth="1"/>
    <col min="11710" max="11710" width="11.375" style="123" customWidth="1"/>
    <col min="11711" max="11711" width="13.5" style="123" customWidth="1"/>
    <col min="11712" max="11922" width="8.5" style="123"/>
    <col min="11923" max="11923" width="4.125" style="123" customWidth="1"/>
    <col min="11924" max="11924" width="16.125" style="123" customWidth="1"/>
    <col min="11925" max="11925" width="14.375" style="123" customWidth="1"/>
    <col min="11926" max="11926" width="10.375" style="123" customWidth="1"/>
    <col min="11927" max="11927" width="10.625" style="123" customWidth="1"/>
    <col min="11928" max="11928" width="10.5" style="123" customWidth="1"/>
    <col min="11929" max="11929" width="11.625" style="123" customWidth="1"/>
    <col min="11930" max="11930" width="12.5" style="123" customWidth="1"/>
    <col min="11931" max="11931" width="12" style="123" customWidth="1"/>
    <col min="11932" max="11932" width="8.125" style="123" customWidth="1"/>
    <col min="11933" max="11933" width="12.125" style="123" customWidth="1"/>
    <col min="11934" max="11934" width="10.625" style="123" customWidth="1"/>
    <col min="11935" max="11935" width="12" style="123" customWidth="1"/>
    <col min="11936" max="11936" width="10.625" style="123" customWidth="1"/>
    <col min="11937" max="11937" width="11.875" style="123" customWidth="1"/>
    <col min="11938" max="11938" width="10.625" style="123" customWidth="1"/>
    <col min="11939" max="11944" width="14.375" style="123" customWidth="1"/>
    <col min="11945" max="11945" width="9.125" style="123" customWidth="1"/>
    <col min="11946" max="11946" width="14.625" style="123" customWidth="1"/>
    <col min="11947" max="11948" width="11.875" style="123" customWidth="1"/>
    <col min="11949" max="11949" width="13.5" style="123" customWidth="1"/>
    <col min="11950" max="11950" width="13.375" style="123" customWidth="1"/>
    <col min="11951" max="11951" width="14.5" style="123" customWidth="1"/>
    <col min="11952" max="11952" width="12.5" style="123" customWidth="1"/>
    <col min="11953" max="11953" width="12" style="123" customWidth="1"/>
    <col min="11954" max="11954" width="11" style="123" customWidth="1"/>
    <col min="11955" max="11955" width="12.625" style="123" customWidth="1"/>
    <col min="11956" max="11956" width="13.125" style="123" customWidth="1"/>
    <col min="11957" max="11957" width="11.375" style="123" customWidth="1"/>
    <col min="11958" max="11958" width="13.375" style="123" customWidth="1"/>
    <col min="11959" max="11959" width="15.375" style="123" customWidth="1"/>
    <col min="11960" max="11960" width="14.5" style="123" customWidth="1"/>
    <col min="11961" max="11961" width="13.125" style="123" customWidth="1"/>
    <col min="11962" max="11962" width="13" style="123" customWidth="1"/>
    <col min="11963" max="11963" width="12.625" style="123" customWidth="1"/>
    <col min="11964" max="11965" width="10.625" style="123" customWidth="1"/>
    <col min="11966" max="11966" width="11.375" style="123" customWidth="1"/>
    <col min="11967" max="11967" width="13.5" style="123" customWidth="1"/>
    <col min="11968" max="12178" width="8.5" style="123"/>
    <col min="12179" max="12179" width="4.125" style="123" customWidth="1"/>
    <col min="12180" max="12180" width="16.125" style="123" customWidth="1"/>
    <col min="12181" max="12181" width="14.375" style="123" customWidth="1"/>
    <col min="12182" max="12182" width="10.375" style="123" customWidth="1"/>
    <col min="12183" max="12183" width="10.625" style="123" customWidth="1"/>
    <col min="12184" max="12184" width="10.5" style="123" customWidth="1"/>
    <col min="12185" max="12185" width="11.625" style="123" customWidth="1"/>
    <col min="12186" max="12186" width="12.5" style="123" customWidth="1"/>
    <col min="12187" max="12187" width="12" style="123" customWidth="1"/>
    <col min="12188" max="12188" width="8.125" style="123" customWidth="1"/>
    <col min="12189" max="12189" width="12.125" style="123" customWidth="1"/>
    <col min="12190" max="12190" width="10.625" style="123" customWidth="1"/>
    <col min="12191" max="12191" width="12" style="123" customWidth="1"/>
    <col min="12192" max="12192" width="10.625" style="123" customWidth="1"/>
    <col min="12193" max="12193" width="11.875" style="123" customWidth="1"/>
    <col min="12194" max="12194" width="10.625" style="123" customWidth="1"/>
    <col min="12195" max="12200" width="14.375" style="123" customWidth="1"/>
    <col min="12201" max="12201" width="9.125" style="123" customWidth="1"/>
    <col min="12202" max="12202" width="14.625" style="123" customWidth="1"/>
    <col min="12203" max="12204" width="11.875" style="123" customWidth="1"/>
    <col min="12205" max="12205" width="13.5" style="123" customWidth="1"/>
    <col min="12206" max="12206" width="13.375" style="123" customWidth="1"/>
    <col min="12207" max="12207" width="14.5" style="123" customWidth="1"/>
    <col min="12208" max="12208" width="12.5" style="123" customWidth="1"/>
    <col min="12209" max="12209" width="12" style="123" customWidth="1"/>
    <col min="12210" max="12210" width="11" style="123" customWidth="1"/>
    <col min="12211" max="12211" width="12.625" style="123" customWidth="1"/>
    <col min="12212" max="12212" width="13.125" style="123" customWidth="1"/>
    <col min="12213" max="12213" width="11.375" style="123" customWidth="1"/>
    <col min="12214" max="12214" width="13.375" style="123" customWidth="1"/>
    <col min="12215" max="12215" width="15.375" style="123" customWidth="1"/>
    <col min="12216" max="12216" width="14.5" style="123" customWidth="1"/>
    <col min="12217" max="12217" width="13.125" style="123" customWidth="1"/>
    <col min="12218" max="12218" width="13" style="123" customWidth="1"/>
    <col min="12219" max="12219" width="12.625" style="123" customWidth="1"/>
    <col min="12220" max="12221" width="10.625" style="123" customWidth="1"/>
    <col min="12222" max="12222" width="11.375" style="123" customWidth="1"/>
    <col min="12223" max="12223" width="13.5" style="123" customWidth="1"/>
    <col min="12224" max="12434" width="8.5" style="123"/>
    <col min="12435" max="12435" width="4.125" style="123" customWidth="1"/>
    <col min="12436" max="12436" width="16.125" style="123" customWidth="1"/>
    <col min="12437" max="12437" width="14.375" style="123" customWidth="1"/>
    <col min="12438" max="12438" width="10.375" style="123" customWidth="1"/>
    <col min="12439" max="12439" width="10.625" style="123" customWidth="1"/>
    <col min="12440" max="12440" width="10.5" style="123" customWidth="1"/>
    <col min="12441" max="12441" width="11.625" style="123" customWidth="1"/>
    <col min="12442" max="12442" width="12.5" style="123" customWidth="1"/>
    <col min="12443" max="12443" width="12" style="123" customWidth="1"/>
    <col min="12444" max="12444" width="8.125" style="123" customWidth="1"/>
    <col min="12445" max="12445" width="12.125" style="123" customWidth="1"/>
    <col min="12446" max="12446" width="10.625" style="123" customWidth="1"/>
    <col min="12447" max="12447" width="12" style="123" customWidth="1"/>
    <col min="12448" max="12448" width="10.625" style="123" customWidth="1"/>
    <col min="12449" max="12449" width="11.875" style="123" customWidth="1"/>
    <col min="12450" max="12450" width="10.625" style="123" customWidth="1"/>
    <col min="12451" max="12456" width="14.375" style="123" customWidth="1"/>
    <col min="12457" max="12457" width="9.125" style="123" customWidth="1"/>
    <col min="12458" max="12458" width="14.625" style="123" customWidth="1"/>
    <col min="12459" max="12460" width="11.875" style="123" customWidth="1"/>
    <col min="12461" max="12461" width="13.5" style="123" customWidth="1"/>
    <col min="12462" max="12462" width="13.375" style="123" customWidth="1"/>
    <col min="12463" max="12463" width="14.5" style="123" customWidth="1"/>
    <col min="12464" max="12464" width="12.5" style="123" customWidth="1"/>
    <col min="12465" max="12465" width="12" style="123" customWidth="1"/>
    <col min="12466" max="12466" width="11" style="123" customWidth="1"/>
    <col min="12467" max="12467" width="12.625" style="123" customWidth="1"/>
    <col min="12468" max="12468" width="13.125" style="123" customWidth="1"/>
    <col min="12469" max="12469" width="11.375" style="123" customWidth="1"/>
    <col min="12470" max="12470" width="13.375" style="123" customWidth="1"/>
    <col min="12471" max="12471" width="15.375" style="123" customWidth="1"/>
    <col min="12472" max="12472" width="14.5" style="123" customWidth="1"/>
    <col min="12473" max="12473" width="13.125" style="123" customWidth="1"/>
    <col min="12474" max="12474" width="13" style="123" customWidth="1"/>
    <col min="12475" max="12475" width="12.625" style="123" customWidth="1"/>
    <col min="12476" max="12477" width="10.625" style="123" customWidth="1"/>
    <col min="12478" max="12478" width="11.375" style="123" customWidth="1"/>
    <col min="12479" max="12479" width="13.5" style="123" customWidth="1"/>
    <col min="12480" max="12690" width="8.5" style="123"/>
    <col min="12691" max="12691" width="4.125" style="123" customWidth="1"/>
    <col min="12692" max="12692" width="16.125" style="123" customWidth="1"/>
    <col min="12693" max="12693" width="14.375" style="123" customWidth="1"/>
    <col min="12694" max="12694" width="10.375" style="123" customWidth="1"/>
    <col min="12695" max="12695" width="10.625" style="123" customWidth="1"/>
    <col min="12696" max="12696" width="10.5" style="123" customWidth="1"/>
    <col min="12697" max="12697" width="11.625" style="123" customWidth="1"/>
    <col min="12698" max="12698" width="12.5" style="123" customWidth="1"/>
    <col min="12699" max="12699" width="12" style="123" customWidth="1"/>
    <col min="12700" max="12700" width="8.125" style="123" customWidth="1"/>
    <col min="12701" max="12701" width="12.125" style="123" customWidth="1"/>
    <col min="12702" max="12702" width="10.625" style="123" customWidth="1"/>
    <col min="12703" max="12703" width="12" style="123" customWidth="1"/>
    <col min="12704" max="12704" width="10.625" style="123" customWidth="1"/>
    <col min="12705" max="12705" width="11.875" style="123" customWidth="1"/>
    <col min="12706" max="12706" width="10.625" style="123" customWidth="1"/>
    <col min="12707" max="12712" width="14.375" style="123" customWidth="1"/>
    <col min="12713" max="12713" width="9.125" style="123" customWidth="1"/>
    <col min="12714" max="12714" width="14.625" style="123" customWidth="1"/>
    <col min="12715" max="12716" width="11.875" style="123" customWidth="1"/>
    <col min="12717" max="12717" width="13.5" style="123" customWidth="1"/>
    <col min="12718" max="12718" width="13.375" style="123" customWidth="1"/>
    <col min="12719" max="12719" width="14.5" style="123" customWidth="1"/>
    <col min="12720" max="12720" width="12.5" style="123" customWidth="1"/>
    <col min="12721" max="12721" width="12" style="123" customWidth="1"/>
    <col min="12722" max="12722" width="11" style="123" customWidth="1"/>
    <col min="12723" max="12723" width="12.625" style="123" customWidth="1"/>
    <col min="12724" max="12724" width="13.125" style="123" customWidth="1"/>
    <col min="12725" max="12725" width="11.375" style="123" customWidth="1"/>
    <col min="12726" max="12726" width="13.375" style="123" customWidth="1"/>
    <col min="12727" max="12727" width="15.375" style="123" customWidth="1"/>
    <col min="12728" max="12728" width="14.5" style="123" customWidth="1"/>
    <col min="12729" max="12729" width="13.125" style="123" customWidth="1"/>
    <col min="12730" max="12730" width="13" style="123" customWidth="1"/>
    <col min="12731" max="12731" width="12.625" style="123" customWidth="1"/>
    <col min="12732" max="12733" width="10.625" style="123" customWidth="1"/>
    <col min="12734" max="12734" width="11.375" style="123" customWidth="1"/>
    <col min="12735" max="12735" width="13.5" style="123" customWidth="1"/>
    <col min="12736" max="12946" width="8.5" style="123"/>
    <col min="12947" max="12947" width="4.125" style="123" customWidth="1"/>
    <col min="12948" max="12948" width="16.125" style="123" customWidth="1"/>
    <col min="12949" max="12949" width="14.375" style="123" customWidth="1"/>
    <col min="12950" max="12950" width="10.375" style="123" customWidth="1"/>
    <col min="12951" max="12951" width="10.625" style="123" customWidth="1"/>
    <col min="12952" max="12952" width="10.5" style="123" customWidth="1"/>
    <col min="12953" max="12953" width="11.625" style="123" customWidth="1"/>
    <col min="12954" max="12954" width="12.5" style="123" customWidth="1"/>
    <col min="12955" max="12955" width="12" style="123" customWidth="1"/>
    <col min="12956" max="12956" width="8.125" style="123" customWidth="1"/>
    <col min="12957" max="12957" width="12.125" style="123" customWidth="1"/>
    <col min="12958" max="12958" width="10.625" style="123" customWidth="1"/>
    <col min="12959" max="12959" width="12" style="123" customWidth="1"/>
    <col min="12960" max="12960" width="10.625" style="123" customWidth="1"/>
    <col min="12961" max="12961" width="11.875" style="123" customWidth="1"/>
    <col min="12962" max="12962" width="10.625" style="123" customWidth="1"/>
    <col min="12963" max="12968" width="14.375" style="123" customWidth="1"/>
    <col min="12969" max="12969" width="9.125" style="123" customWidth="1"/>
    <col min="12970" max="12970" width="14.625" style="123" customWidth="1"/>
    <col min="12971" max="12972" width="11.875" style="123" customWidth="1"/>
    <col min="12973" max="12973" width="13.5" style="123" customWidth="1"/>
    <col min="12974" max="12974" width="13.375" style="123" customWidth="1"/>
    <col min="12975" max="12975" width="14.5" style="123" customWidth="1"/>
    <col min="12976" max="12976" width="12.5" style="123" customWidth="1"/>
    <col min="12977" max="12977" width="12" style="123" customWidth="1"/>
    <col min="12978" max="12978" width="11" style="123" customWidth="1"/>
    <col min="12979" max="12979" width="12.625" style="123" customWidth="1"/>
    <col min="12980" max="12980" width="13.125" style="123" customWidth="1"/>
    <col min="12981" max="12981" width="11.375" style="123" customWidth="1"/>
    <col min="12982" max="12982" width="13.375" style="123" customWidth="1"/>
    <col min="12983" max="12983" width="15.375" style="123" customWidth="1"/>
    <col min="12984" max="12984" width="14.5" style="123" customWidth="1"/>
    <col min="12985" max="12985" width="13.125" style="123" customWidth="1"/>
    <col min="12986" max="12986" width="13" style="123" customWidth="1"/>
    <col min="12987" max="12987" width="12.625" style="123" customWidth="1"/>
    <col min="12988" max="12989" width="10.625" style="123" customWidth="1"/>
    <col min="12990" max="12990" width="11.375" style="123" customWidth="1"/>
    <col min="12991" max="12991" width="13.5" style="123" customWidth="1"/>
    <col min="12992" max="13202" width="8.5" style="123"/>
    <col min="13203" max="13203" width="4.125" style="123" customWidth="1"/>
    <col min="13204" max="13204" width="16.125" style="123" customWidth="1"/>
    <col min="13205" max="13205" width="14.375" style="123" customWidth="1"/>
    <col min="13206" max="13206" width="10.375" style="123" customWidth="1"/>
    <col min="13207" max="13207" width="10.625" style="123" customWidth="1"/>
    <col min="13208" max="13208" width="10.5" style="123" customWidth="1"/>
    <col min="13209" max="13209" width="11.625" style="123" customWidth="1"/>
    <col min="13210" max="13210" width="12.5" style="123" customWidth="1"/>
    <col min="13211" max="13211" width="12" style="123" customWidth="1"/>
    <col min="13212" max="13212" width="8.125" style="123" customWidth="1"/>
    <col min="13213" max="13213" width="12.125" style="123" customWidth="1"/>
    <col min="13214" max="13214" width="10.625" style="123" customWidth="1"/>
    <col min="13215" max="13215" width="12" style="123" customWidth="1"/>
    <col min="13216" max="13216" width="10.625" style="123" customWidth="1"/>
    <col min="13217" max="13217" width="11.875" style="123" customWidth="1"/>
    <col min="13218" max="13218" width="10.625" style="123" customWidth="1"/>
    <col min="13219" max="13224" width="14.375" style="123" customWidth="1"/>
    <col min="13225" max="13225" width="9.125" style="123" customWidth="1"/>
    <col min="13226" max="13226" width="14.625" style="123" customWidth="1"/>
    <col min="13227" max="13228" width="11.875" style="123" customWidth="1"/>
    <col min="13229" max="13229" width="13.5" style="123" customWidth="1"/>
    <col min="13230" max="13230" width="13.375" style="123" customWidth="1"/>
    <col min="13231" max="13231" width="14.5" style="123" customWidth="1"/>
    <col min="13232" max="13232" width="12.5" style="123" customWidth="1"/>
    <col min="13233" max="13233" width="12" style="123" customWidth="1"/>
    <col min="13234" max="13234" width="11" style="123" customWidth="1"/>
    <col min="13235" max="13235" width="12.625" style="123" customWidth="1"/>
    <col min="13236" max="13236" width="13.125" style="123" customWidth="1"/>
    <col min="13237" max="13237" width="11.375" style="123" customWidth="1"/>
    <col min="13238" max="13238" width="13.375" style="123" customWidth="1"/>
    <col min="13239" max="13239" width="15.375" style="123" customWidth="1"/>
    <col min="13240" max="13240" width="14.5" style="123" customWidth="1"/>
    <col min="13241" max="13241" width="13.125" style="123" customWidth="1"/>
    <col min="13242" max="13242" width="13" style="123" customWidth="1"/>
    <col min="13243" max="13243" width="12.625" style="123" customWidth="1"/>
    <col min="13244" max="13245" width="10.625" style="123" customWidth="1"/>
    <col min="13246" max="13246" width="11.375" style="123" customWidth="1"/>
    <col min="13247" max="13247" width="13.5" style="123" customWidth="1"/>
    <col min="13248" max="13458" width="8.5" style="123"/>
    <col min="13459" max="13459" width="4.125" style="123" customWidth="1"/>
    <col min="13460" max="13460" width="16.125" style="123" customWidth="1"/>
    <col min="13461" max="13461" width="14.375" style="123" customWidth="1"/>
    <col min="13462" max="13462" width="10.375" style="123" customWidth="1"/>
    <col min="13463" max="13463" width="10.625" style="123" customWidth="1"/>
    <col min="13464" max="13464" width="10.5" style="123" customWidth="1"/>
    <col min="13465" max="13465" width="11.625" style="123" customWidth="1"/>
    <col min="13466" max="13466" width="12.5" style="123" customWidth="1"/>
    <col min="13467" max="13467" width="12" style="123" customWidth="1"/>
    <col min="13468" max="13468" width="8.125" style="123" customWidth="1"/>
    <col min="13469" max="13469" width="12.125" style="123" customWidth="1"/>
    <col min="13470" max="13470" width="10.625" style="123" customWidth="1"/>
    <col min="13471" max="13471" width="12" style="123" customWidth="1"/>
    <col min="13472" max="13472" width="10.625" style="123" customWidth="1"/>
    <col min="13473" max="13473" width="11.875" style="123" customWidth="1"/>
    <col min="13474" max="13474" width="10.625" style="123" customWidth="1"/>
    <col min="13475" max="13480" width="14.375" style="123" customWidth="1"/>
    <col min="13481" max="13481" width="9.125" style="123" customWidth="1"/>
    <col min="13482" max="13482" width="14.625" style="123" customWidth="1"/>
    <col min="13483" max="13484" width="11.875" style="123" customWidth="1"/>
    <col min="13485" max="13485" width="13.5" style="123" customWidth="1"/>
    <col min="13486" max="13486" width="13.375" style="123" customWidth="1"/>
    <col min="13487" max="13487" width="14.5" style="123" customWidth="1"/>
    <col min="13488" max="13488" width="12.5" style="123" customWidth="1"/>
    <col min="13489" max="13489" width="12" style="123" customWidth="1"/>
    <col min="13490" max="13490" width="11" style="123" customWidth="1"/>
    <col min="13491" max="13491" width="12.625" style="123" customWidth="1"/>
    <col min="13492" max="13492" width="13.125" style="123" customWidth="1"/>
    <col min="13493" max="13493" width="11.375" style="123" customWidth="1"/>
    <col min="13494" max="13494" width="13.375" style="123" customWidth="1"/>
    <col min="13495" max="13495" width="15.375" style="123" customWidth="1"/>
    <col min="13496" max="13496" width="14.5" style="123" customWidth="1"/>
    <col min="13497" max="13497" width="13.125" style="123" customWidth="1"/>
    <col min="13498" max="13498" width="13" style="123" customWidth="1"/>
    <col min="13499" max="13499" width="12.625" style="123" customWidth="1"/>
    <col min="13500" max="13501" width="10.625" style="123" customWidth="1"/>
    <col min="13502" max="13502" width="11.375" style="123" customWidth="1"/>
    <col min="13503" max="13503" width="13.5" style="123" customWidth="1"/>
    <col min="13504" max="13714" width="8.5" style="123"/>
    <col min="13715" max="13715" width="4.125" style="123" customWidth="1"/>
    <col min="13716" max="13716" width="16.125" style="123" customWidth="1"/>
    <col min="13717" max="13717" width="14.375" style="123" customWidth="1"/>
    <col min="13718" max="13718" width="10.375" style="123" customWidth="1"/>
    <col min="13719" max="13719" width="10.625" style="123" customWidth="1"/>
    <col min="13720" max="13720" width="10.5" style="123" customWidth="1"/>
    <col min="13721" max="13721" width="11.625" style="123" customWidth="1"/>
    <col min="13722" max="13722" width="12.5" style="123" customWidth="1"/>
    <col min="13723" max="13723" width="12" style="123" customWidth="1"/>
    <col min="13724" max="13724" width="8.125" style="123" customWidth="1"/>
    <col min="13725" max="13725" width="12.125" style="123" customWidth="1"/>
    <col min="13726" max="13726" width="10.625" style="123" customWidth="1"/>
    <col min="13727" max="13727" width="12" style="123" customWidth="1"/>
    <col min="13728" max="13728" width="10.625" style="123" customWidth="1"/>
    <col min="13729" max="13729" width="11.875" style="123" customWidth="1"/>
    <col min="13730" max="13730" width="10.625" style="123" customWidth="1"/>
    <col min="13731" max="13736" width="14.375" style="123" customWidth="1"/>
    <col min="13737" max="13737" width="9.125" style="123" customWidth="1"/>
    <col min="13738" max="13738" width="14.625" style="123" customWidth="1"/>
    <col min="13739" max="13740" width="11.875" style="123" customWidth="1"/>
    <col min="13741" max="13741" width="13.5" style="123" customWidth="1"/>
    <col min="13742" max="13742" width="13.375" style="123" customWidth="1"/>
    <col min="13743" max="13743" width="14.5" style="123" customWidth="1"/>
    <col min="13744" max="13744" width="12.5" style="123" customWidth="1"/>
    <col min="13745" max="13745" width="12" style="123" customWidth="1"/>
    <col min="13746" max="13746" width="11" style="123" customWidth="1"/>
    <col min="13747" max="13747" width="12.625" style="123" customWidth="1"/>
    <col min="13748" max="13748" width="13.125" style="123" customWidth="1"/>
    <col min="13749" max="13749" width="11.375" style="123" customWidth="1"/>
    <col min="13750" max="13750" width="13.375" style="123" customWidth="1"/>
    <col min="13751" max="13751" width="15.375" style="123" customWidth="1"/>
    <col min="13752" max="13752" width="14.5" style="123" customWidth="1"/>
    <col min="13753" max="13753" width="13.125" style="123" customWidth="1"/>
    <col min="13754" max="13754" width="13" style="123" customWidth="1"/>
    <col min="13755" max="13755" width="12.625" style="123" customWidth="1"/>
    <col min="13756" max="13757" width="10.625" style="123" customWidth="1"/>
    <col min="13758" max="13758" width="11.375" style="123" customWidth="1"/>
    <col min="13759" max="13759" width="13.5" style="123" customWidth="1"/>
    <col min="13760" max="13970" width="8.5" style="123"/>
    <col min="13971" max="13971" width="4.125" style="123" customWidth="1"/>
    <col min="13972" max="13972" width="16.125" style="123" customWidth="1"/>
    <col min="13973" max="13973" width="14.375" style="123" customWidth="1"/>
    <col min="13974" max="13974" width="10.375" style="123" customWidth="1"/>
    <col min="13975" max="13975" width="10.625" style="123" customWidth="1"/>
    <col min="13976" max="13976" width="10.5" style="123" customWidth="1"/>
    <col min="13977" max="13977" width="11.625" style="123" customWidth="1"/>
    <col min="13978" max="13978" width="12.5" style="123" customWidth="1"/>
    <col min="13979" max="13979" width="12" style="123" customWidth="1"/>
    <col min="13980" max="13980" width="8.125" style="123" customWidth="1"/>
    <col min="13981" max="13981" width="12.125" style="123" customWidth="1"/>
    <col min="13982" max="13982" width="10.625" style="123" customWidth="1"/>
    <col min="13983" max="13983" width="12" style="123" customWidth="1"/>
    <col min="13984" max="13984" width="10.625" style="123" customWidth="1"/>
    <col min="13985" max="13985" width="11.875" style="123" customWidth="1"/>
    <col min="13986" max="13986" width="10.625" style="123" customWidth="1"/>
    <col min="13987" max="13992" width="14.375" style="123" customWidth="1"/>
    <col min="13993" max="13993" width="9.125" style="123" customWidth="1"/>
    <col min="13994" max="13994" width="14.625" style="123" customWidth="1"/>
    <col min="13995" max="13996" width="11.875" style="123" customWidth="1"/>
    <col min="13997" max="13997" width="13.5" style="123" customWidth="1"/>
    <col min="13998" max="13998" width="13.375" style="123" customWidth="1"/>
    <col min="13999" max="13999" width="14.5" style="123" customWidth="1"/>
    <col min="14000" max="14000" width="12.5" style="123" customWidth="1"/>
    <col min="14001" max="14001" width="12" style="123" customWidth="1"/>
    <col min="14002" max="14002" width="11" style="123" customWidth="1"/>
    <col min="14003" max="14003" width="12.625" style="123" customWidth="1"/>
    <col min="14004" max="14004" width="13.125" style="123" customWidth="1"/>
    <col min="14005" max="14005" width="11.375" style="123" customWidth="1"/>
    <col min="14006" max="14006" width="13.375" style="123" customWidth="1"/>
    <col min="14007" max="14007" width="15.375" style="123" customWidth="1"/>
    <col min="14008" max="14008" width="14.5" style="123" customWidth="1"/>
    <col min="14009" max="14009" width="13.125" style="123" customWidth="1"/>
    <col min="14010" max="14010" width="13" style="123" customWidth="1"/>
    <col min="14011" max="14011" width="12.625" style="123" customWidth="1"/>
    <col min="14012" max="14013" width="10.625" style="123" customWidth="1"/>
    <col min="14014" max="14014" width="11.375" style="123" customWidth="1"/>
    <col min="14015" max="14015" width="13.5" style="123" customWidth="1"/>
    <col min="14016" max="14226" width="8.5" style="123"/>
    <col min="14227" max="14227" width="4.125" style="123" customWidth="1"/>
    <col min="14228" max="14228" width="16.125" style="123" customWidth="1"/>
    <col min="14229" max="14229" width="14.375" style="123" customWidth="1"/>
    <col min="14230" max="14230" width="10.375" style="123" customWidth="1"/>
    <col min="14231" max="14231" width="10.625" style="123" customWidth="1"/>
    <col min="14232" max="14232" width="10.5" style="123" customWidth="1"/>
    <col min="14233" max="14233" width="11.625" style="123" customWidth="1"/>
    <col min="14234" max="14234" width="12.5" style="123" customWidth="1"/>
    <col min="14235" max="14235" width="12" style="123" customWidth="1"/>
    <col min="14236" max="14236" width="8.125" style="123" customWidth="1"/>
    <col min="14237" max="14237" width="12.125" style="123" customWidth="1"/>
    <col min="14238" max="14238" width="10.625" style="123" customWidth="1"/>
    <col min="14239" max="14239" width="12" style="123" customWidth="1"/>
    <col min="14240" max="14240" width="10.625" style="123" customWidth="1"/>
    <col min="14241" max="14241" width="11.875" style="123" customWidth="1"/>
    <col min="14242" max="14242" width="10.625" style="123" customWidth="1"/>
    <col min="14243" max="14248" width="14.375" style="123" customWidth="1"/>
    <col min="14249" max="14249" width="9.125" style="123" customWidth="1"/>
    <col min="14250" max="14250" width="14.625" style="123" customWidth="1"/>
    <col min="14251" max="14252" width="11.875" style="123" customWidth="1"/>
    <col min="14253" max="14253" width="13.5" style="123" customWidth="1"/>
    <col min="14254" max="14254" width="13.375" style="123" customWidth="1"/>
    <col min="14255" max="14255" width="14.5" style="123" customWidth="1"/>
    <col min="14256" max="14256" width="12.5" style="123" customWidth="1"/>
    <col min="14257" max="14257" width="12" style="123" customWidth="1"/>
    <col min="14258" max="14258" width="11" style="123" customWidth="1"/>
    <col min="14259" max="14259" width="12.625" style="123" customWidth="1"/>
    <col min="14260" max="14260" width="13.125" style="123" customWidth="1"/>
    <col min="14261" max="14261" width="11.375" style="123" customWidth="1"/>
    <col min="14262" max="14262" width="13.375" style="123" customWidth="1"/>
    <col min="14263" max="14263" width="15.375" style="123" customWidth="1"/>
    <col min="14264" max="14264" width="14.5" style="123" customWidth="1"/>
    <col min="14265" max="14265" width="13.125" style="123" customWidth="1"/>
    <col min="14266" max="14266" width="13" style="123" customWidth="1"/>
    <col min="14267" max="14267" width="12.625" style="123" customWidth="1"/>
    <col min="14268" max="14269" width="10.625" style="123" customWidth="1"/>
    <col min="14270" max="14270" width="11.375" style="123" customWidth="1"/>
    <col min="14271" max="14271" width="13.5" style="123" customWidth="1"/>
    <col min="14272" max="14482" width="8.5" style="123"/>
    <col min="14483" max="14483" width="4.125" style="123" customWidth="1"/>
    <col min="14484" max="14484" width="16.125" style="123" customWidth="1"/>
    <col min="14485" max="14485" width="14.375" style="123" customWidth="1"/>
    <col min="14486" max="14486" width="10.375" style="123" customWidth="1"/>
    <col min="14487" max="14487" width="10.625" style="123" customWidth="1"/>
    <col min="14488" max="14488" width="10.5" style="123" customWidth="1"/>
    <col min="14489" max="14489" width="11.625" style="123" customWidth="1"/>
    <col min="14490" max="14490" width="12.5" style="123" customWidth="1"/>
    <col min="14491" max="14491" width="12" style="123" customWidth="1"/>
    <col min="14492" max="14492" width="8.125" style="123" customWidth="1"/>
    <col min="14493" max="14493" width="12.125" style="123" customWidth="1"/>
    <col min="14494" max="14494" width="10.625" style="123" customWidth="1"/>
    <col min="14495" max="14495" width="12" style="123" customWidth="1"/>
    <col min="14496" max="14496" width="10.625" style="123" customWidth="1"/>
    <col min="14497" max="14497" width="11.875" style="123" customWidth="1"/>
    <col min="14498" max="14498" width="10.625" style="123" customWidth="1"/>
    <col min="14499" max="14504" width="14.375" style="123" customWidth="1"/>
    <col min="14505" max="14505" width="9.125" style="123" customWidth="1"/>
    <col min="14506" max="14506" width="14.625" style="123" customWidth="1"/>
    <col min="14507" max="14508" width="11.875" style="123" customWidth="1"/>
    <col min="14509" max="14509" width="13.5" style="123" customWidth="1"/>
    <col min="14510" max="14510" width="13.375" style="123" customWidth="1"/>
    <col min="14511" max="14511" width="14.5" style="123" customWidth="1"/>
    <col min="14512" max="14512" width="12.5" style="123" customWidth="1"/>
    <col min="14513" max="14513" width="12" style="123" customWidth="1"/>
    <col min="14514" max="14514" width="11" style="123" customWidth="1"/>
    <col min="14515" max="14515" width="12.625" style="123" customWidth="1"/>
    <col min="14516" max="14516" width="13.125" style="123" customWidth="1"/>
    <col min="14517" max="14517" width="11.375" style="123" customWidth="1"/>
    <col min="14518" max="14518" width="13.375" style="123" customWidth="1"/>
    <col min="14519" max="14519" width="15.375" style="123" customWidth="1"/>
    <col min="14520" max="14520" width="14.5" style="123" customWidth="1"/>
    <col min="14521" max="14521" width="13.125" style="123" customWidth="1"/>
    <col min="14522" max="14522" width="13" style="123" customWidth="1"/>
    <col min="14523" max="14523" width="12.625" style="123" customWidth="1"/>
    <col min="14524" max="14525" width="10.625" style="123" customWidth="1"/>
    <col min="14526" max="14526" width="11.375" style="123" customWidth="1"/>
    <col min="14527" max="14527" width="13.5" style="123" customWidth="1"/>
    <col min="14528" max="14738" width="8.5" style="123"/>
    <col min="14739" max="14739" width="4.125" style="123" customWidth="1"/>
    <col min="14740" max="14740" width="16.125" style="123" customWidth="1"/>
    <col min="14741" max="14741" width="14.375" style="123" customWidth="1"/>
    <col min="14742" max="14742" width="10.375" style="123" customWidth="1"/>
    <col min="14743" max="14743" width="10.625" style="123" customWidth="1"/>
    <col min="14744" max="14744" width="10.5" style="123" customWidth="1"/>
    <col min="14745" max="14745" width="11.625" style="123" customWidth="1"/>
    <col min="14746" max="14746" width="12.5" style="123" customWidth="1"/>
    <col min="14747" max="14747" width="12" style="123" customWidth="1"/>
    <col min="14748" max="14748" width="8.125" style="123" customWidth="1"/>
    <col min="14749" max="14749" width="12.125" style="123" customWidth="1"/>
    <col min="14750" max="14750" width="10.625" style="123" customWidth="1"/>
    <col min="14751" max="14751" width="12" style="123" customWidth="1"/>
    <col min="14752" max="14752" width="10.625" style="123" customWidth="1"/>
    <col min="14753" max="14753" width="11.875" style="123" customWidth="1"/>
    <col min="14754" max="14754" width="10.625" style="123" customWidth="1"/>
    <col min="14755" max="14760" width="14.375" style="123" customWidth="1"/>
    <col min="14761" max="14761" width="9.125" style="123" customWidth="1"/>
    <col min="14762" max="14762" width="14.625" style="123" customWidth="1"/>
    <col min="14763" max="14764" width="11.875" style="123" customWidth="1"/>
    <col min="14765" max="14765" width="13.5" style="123" customWidth="1"/>
    <col min="14766" max="14766" width="13.375" style="123" customWidth="1"/>
    <col min="14767" max="14767" width="14.5" style="123" customWidth="1"/>
    <col min="14768" max="14768" width="12.5" style="123" customWidth="1"/>
    <col min="14769" max="14769" width="12" style="123" customWidth="1"/>
    <col min="14770" max="14770" width="11" style="123" customWidth="1"/>
    <col min="14771" max="14771" width="12.625" style="123" customWidth="1"/>
    <col min="14772" max="14772" width="13.125" style="123" customWidth="1"/>
    <col min="14773" max="14773" width="11.375" style="123" customWidth="1"/>
    <col min="14774" max="14774" width="13.375" style="123" customWidth="1"/>
    <col min="14775" max="14775" width="15.375" style="123" customWidth="1"/>
    <col min="14776" max="14776" width="14.5" style="123" customWidth="1"/>
    <col min="14777" max="14777" width="13.125" style="123" customWidth="1"/>
    <col min="14778" max="14778" width="13" style="123" customWidth="1"/>
    <col min="14779" max="14779" width="12.625" style="123" customWidth="1"/>
    <col min="14780" max="14781" width="10.625" style="123" customWidth="1"/>
    <col min="14782" max="14782" width="11.375" style="123" customWidth="1"/>
    <col min="14783" max="14783" width="13.5" style="123" customWidth="1"/>
    <col min="14784" max="14994" width="8.5" style="123"/>
    <col min="14995" max="14995" width="4.125" style="123" customWidth="1"/>
    <col min="14996" max="14996" width="16.125" style="123" customWidth="1"/>
    <col min="14997" max="14997" width="14.375" style="123" customWidth="1"/>
    <col min="14998" max="14998" width="10.375" style="123" customWidth="1"/>
    <col min="14999" max="14999" width="10.625" style="123" customWidth="1"/>
    <col min="15000" max="15000" width="10.5" style="123" customWidth="1"/>
    <col min="15001" max="15001" width="11.625" style="123" customWidth="1"/>
    <col min="15002" max="15002" width="12.5" style="123" customWidth="1"/>
    <col min="15003" max="15003" width="12" style="123" customWidth="1"/>
    <col min="15004" max="15004" width="8.125" style="123" customWidth="1"/>
    <col min="15005" max="15005" width="12.125" style="123" customWidth="1"/>
    <col min="15006" max="15006" width="10.625" style="123" customWidth="1"/>
    <col min="15007" max="15007" width="12" style="123" customWidth="1"/>
    <col min="15008" max="15008" width="10.625" style="123" customWidth="1"/>
    <col min="15009" max="15009" width="11.875" style="123" customWidth="1"/>
    <col min="15010" max="15010" width="10.625" style="123" customWidth="1"/>
    <col min="15011" max="15016" width="14.375" style="123" customWidth="1"/>
    <col min="15017" max="15017" width="9.125" style="123" customWidth="1"/>
    <col min="15018" max="15018" width="14.625" style="123" customWidth="1"/>
    <col min="15019" max="15020" width="11.875" style="123" customWidth="1"/>
    <col min="15021" max="15021" width="13.5" style="123" customWidth="1"/>
    <col min="15022" max="15022" width="13.375" style="123" customWidth="1"/>
    <col min="15023" max="15023" width="14.5" style="123" customWidth="1"/>
    <col min="15024" max="15024" width="12.5" style="123" customWidth="1"/>
    <col min="15025" max="15025" width="12" style="123" customWidth="1"/>
    <col min="15026" max="15026" width="11" style="123" customWidth="1"/>
    <col min="15027" max="15027" width="12.625" style="123" customWidth="1"/>
    <col min="15028" max="15028" width="13.125" style="123" customWidth="1"/>
    <col min="15029" max="15029" width="11.375" style="123" customWidth="1"/>
    <col min="15030" max="15030" width="13.375" style="123" customWidth="1"/>
    <col min="15031" max="15031" width="15.375" style="123" customWidth="1"/>
    <col min="15032" max="15032" width="14.5" style="123" customWidth="1"/>
    <col min="15033" max="15033" width="13.125" style="123" customWidth="1"/>
    <col min="15034" max="15034" width="13" style="123" customWidth="1"/>
    <col min="15035" max="15035" width="12.625" style="123" customWidth="1"/>
    <col min="15036" max="15037" width="10.625" style="123" customWidth="1"/>
    <col min="15038" max="15038" width="11.375" style="123" customWidth="1"/>
    <col min="15039" max="15039" width="13.5" style="123" customWidth="1"/>
    <col min="15040" max="15250" width="8.5" style="123"/>
    <col min="15251" max="15251" width="4.125" style="123" customWidth="1"/>
    <col min="15252" max="15252" width="16.125" style="123" customWidth="1"/>
    <col min="15253" max="15253" width="14.375" style="123" customWidth="1"/>
    <col min="15254" max="15254" width="10.375" style="123" customWidth="1"/>
    <col min="15255" max="15255" width="10.625" style="123" customWidth="1"/>
    <col min="15256" max="15256" width="10.5" style="123" customWidth="1"/>
    <col min="15257" max="15257" width="11.625" style="123" customWidth="1"/>
    <col min="15258" max="15258" width="12.5" style="123" customWidth="1"/>
    <col min="15259" max="15259" width="12" style="123" customWidth="1"/>
    <col min="15260" max="15260" width="8.125" style="123" customWidth="1"/>
    <col min="15261" max="15261" width="12.125" style="123" customWidth="1"/>
    <col min="15262" max="15262" width="10.625" style="123" customWidth="1"/>
    <col min="15263" max="15263" width="12" style="123" customWidth="1"/>
    <col min="15264" max="15264" width="10.625" style="123" customWidth="1"/>
    <col min="15265" max="15265" width="11.875" style="123" customWidth="1"/>
    <col min="15266" max="15266" width="10.625" style="123" customWidth="1"/>
    <col min="15267" max="15272" width="14.375" style="123" customWidth="1"/>
    <col min="15273" max="15273" width="9.125" style="123" customWidth="1"/>
    <col min="15274" max="15274" width="14.625" style="123" customWidth="1"/>
    <col min="15275" max="15276" width="11.875" style="123" customWidth="1"/>
    <col min="15277" max="15277" width="13.5" style="123" customWidth="1"/>
    <col min="15278" max="15278" width="13.375" style="123" customWidth="1"/>
    <col min="15279" max="15279" width="14.5" style="123" customWidth="1"/>
    <col min="15280" max="15280" width="12.5" style="123" customWidth="1"/>
    <col min="15281" max="15281" width="12" style="123" customWidth="1"/>
    <col min="15282" max="15282" width="11" style="123" customWidth="1"/>
    <col min="15283" max="15283" width="12.625" style="123" customWidth="1"/>
    <col min="15284" max="15284" width="13.125" style="123" customWidth="1"/>
    <col min="15285" max="15285" width="11.375" style="123" customWidth="1"/>
    <col min="15286" max="15286" width="13.375" style="123" customWidth="1"/>
    <col min="15287" max="15287" width="15.375" style="123" customWidth="1"/>
    <col min="15288" max="15288" width="14.5" style="123" customWidth="1"/>
    <col min="15289" max="15289" width="13.125" style="123" customWidth="1"/>
    <col min="15290" max="15290" width="13" style="123" customWidth="1"/>
    <col min="15291" max="15291" width="12.625" style="123" customWidth="1"/>
    <col min="15292" max="15293" width="10.625" style="123" customWidth="1"/>
    <col min="15294" max="15294" width="11.375" style="123" customWidth="1"/>
    <col min="15295" max="15295" width="13.5" style="123" customWidth="1"/>
    <col min="15296" max="15506" width="8.5" style="123"/>
    <col min="15507" max="15507" width="4.125" style="123" customWidth="1"/>
    <col min="15508" max="15508" width="16.125" style="123" customWidth="1"/>
    <col min="15509" max="15509" width="14.375" style="123" customWidth="1"/>
    <col min="15510" max="15510" width="10.375" style="123" customWidth="1"/>
    <col min="15511" max="15511" width="10.625" style="123" customWidth="1"/>
    <col min="15512" max="15512" width="10.5" style="123" customWidth="1"/>
    <col min="15513" max="15513" width="11.625" style="123" customWidth="1"/>
    <col min="15514" max="15514" width="12.5" style="123" customWidth="1"/>
    <col min="15515" max="15515" width="12" style="123" customWidth="1"/>
    <col min="15516" max="15516" width="8.125" style="123" customWidth="1"/>
    <col min="15517" max="15517" width="12.125" style="123" customWidth="1"/>
    <col min="15518" max="15518" width="10.625" style="123" customWidth="1"/>
    <col min="15519" max="15519" width="12" style="123" customWidth="1"/>
    <col min="15520" max="15520" width="10.625" style="123" customWidth="1"/>
    <col min="15521" max="15521" width="11.875" style="123" customWidth="1"/>
    <col min="15522" max="15522" width="10.625" style="123" customWidth="1"/>
    <col min="15523" max="15528" width="14.375" style="123" customWidth="1"/>
    <col min="15529" max="15529" width="9.125" style="123" customWidth="1"/>
    <col min="15530" max="15530" width="14.625" style="123" customWidth="1"/>
    <col min="15531" max="15532" width="11.875" style="123" customWidth="1"/>
    <col min="15533" max="15533" width="13.5" style="123" customWidth="1"/>
    <col min="15534" max="15534" width="13.375" style="123" customWidth="1"/>
    <col min="15535" max="15535" width="14.5" style="123" customWidth="1"/>
    <col min="15536" max="15536" width="12.5" style="123" customWidth="1"/>
    <col min="15537" max="15537" width="12" style="123" customWidth="1"/>
    <col min="15538" max="15538" width="11" style="123" customWidth="1"/>
    <col min="15539" max="15539" width="12.625" style="123" customWidth="1"/>
    <col min="15540" max="15540" width="13.125" style="123" customWidth="1"/>
    <col min="15541" max="15541" width="11.375" style="123" customWidth="1"/>
    <col min="15542" max="15542" width="13.375" style="123" customWidth="1"/>
    <col min="15543" max="15543" width="15.375" style="123" customWidth="1"/>
    <col min="15544" max="15544" width="14.5" style="123" customWidth="1"/>
    <col min="15545" max="15545" width="13.125" style="123" customWidth="1"/>
    <col min="15546" max="15546" width="13" style="123" customWidth="1"/>
    <col min="15547" max="15547" width="12.625" style="123" customWidth="1"/>
    <col min="15548" max="15549" width="10.625" style="123" customWidth="1"/>
    <col min="15550" max="15550" width="11.375" style="123" customWidth="1"/>
    <col min="15551" max="15551" width="13.5" style="123" customWidth="1"/>
    <col min="15552" max="15762" width="8.5" style="123"/>
    <col min="15763" max="15763" width="4.125" style="123" customWidth="1"/>
    <col min="15764" max="15764" width="16.125" style="123" customWidth="1"/>
    <col min="15765" max="15765" width="14.375" style="123" customWidth="1"/>
    <col min="15766" max="15766" width="10.375" style="123" customWidth="1"/>
    <col min="15767" max="15767" width="10.625" style="123" customWidth="1"/>
    <col min="15768" max="15768" width="10.5" style="123" customWidth="1"/>
    <col min="15769" max="15769" width="11.625" style="123" customWidth="1"/>
    <col min="15770" max="15770" width="12.5" style="123" customWidth="1"/>
    <col min="15771" max="15771" width="12" style="123" customWidth="1"/>
    <col min="15772" max="15772" width="8.125" style="123" customWidth="1"/>
    <col min="15773" max="15773" width="12.125" style="123" customWidth="1"/>
    <col min="15774" max="15774" width="10.625" style="123" customWidth="1"/>
    <col min="15775" max="15775" width="12" style="123" customWidth="1"/>
    <col min="15776" max="15776" width="10.625" style="123" customWidth="1"/>
    <col min="15777" max="15777" width="11.875" style="123" customWidth="1"/>
    <col min="15778" max="15778" width="10.625" style="123" customWidth="1"/>
    <col min="15779" max="15784" width="14.375" style="123" customWidth="1"/>
    <col min="15785" max="15785" width="9.125" style="123" customWidth="1"/>
    <col min="15786" max="15786" width="14.625" style="123" customWidth="1"/>
    <col min="15787" max="15788" width="11.875" style="123" customWidth="1"/>
    <col min="15789" max="15789" width="13.5" style="123" customWidth="1"/>
    <col min="15790" max="15790" width="13.375" style="123" customWidth="1"/>
    <col min="15791" max="15791" width="14.5" style="123" customWidth="1"/>
    <col min="15792" max="15792" width="12.5" style="123" customWidth="1"/>
    <col min="15793" max="15793" width="12" style="123" customWidth="1"/>
    <col min="15794" max="15794" width="11" style="123" customWidth="1"/>
    <col min="15795" max="15795" width="12.625" style="123" customWidth="1"/>
    <col min="15796" max="15796" width="13.125" style="123" customWidth="1"/>
    <col min="15797" max="15797" width="11.375" style="123" customWidth="1"/>
    <col min="15798" max="15798" width="13.375" style="123" customWidth="1"/>
    <col min="15799" max="15799" width="15.375" style="123" customWidth="1"/>
    <col min="15800" max="15800" width="14.5" style="123" customWidth="1"/>
    <col min="15801" max="15801" width="13.125" style="123" customWidth="1"/>
    <col min="15802" max="15802" width="13" style="123" customWidth="1"/>
    <col min="15803" max="15803" width="12.625" style="123" customWidth="1"/>
    <col min="15804" max="15805" width="10.625" style="123" customWidth="1"/>
    <col min="15806" max="15806" width="11.375" style="123" customWidth="1"/>
    <col min="15807" max="15807" width="13.5" style="123" customWidth="1"/>
    <col min="15808" max="16018" width="8.5" style="123"/>
    <col min="16019" max="16019" width="4.125" style="123" customWidth="1"/>
    <col min="16020" max="16020" width="16.125" style="123" customWidth="1"/>
    <col min="16021" max="16021" width="14.375" style="123" customWidth="1"/>
    <col min="16022" max="16022" width="10.375" style="123" customWidth="1"/>
    <col min="16023" max="16023" width="10.625" style="123" customWidth="1"/>
    <col min="16024" max="16024" width="10.5" style="123" customWidth="1"/>
    <col min="16025" max="16025" width="11.625" style="123" customWidth="1"/>
    <col min="16026" max="16026" width="12.5" style="123" customWidth="1"/>
    <col min="16027" max="16027" width="12" style="123" customWidth="1"/>
    <col min="16028" max="16028" width="8.125" style="123" customWidth="1"/>
    <col min="16029" max="16029" width="12.125" style="123" customWidth="1"/>
    <col min="16030" max="16030" width="10.625" style="123" customWidth="1"/>
    <col min="16031" max="16031" width="12" style="123" customWidth="1"/>
    <col min="16032" max="16032" width="10.625" style="123" customWidth="1"/>
    <col min="16033" max="16033" width="11.875" style="123" customWidth="1"/>
    <col min="16034" max="16034" width="10.625" style="123" customWidth="1"/>
    <col min="16035" max="16040" width="14.375" style="123" customWidth="1"/>
    <col min="16041" max="16041" width="9.125" style="123" customWidth="1"/>
    <col min="16042" max="16042" width="14.625" style="123" customWidth="1"/>
    <col min="16043" max="16044" width="11.875" style="123" customWidth="1"/>
    <col min="16045" max="16045" width="13.5" style="123" customWidth="1"/>
    <col min="16046" max="16046" width="13.375" style="123" customWidth="1"/>
    <col min="16047" max="16047" width="14.5" style="123" customWidth="1"/>
    <col min="16048" max="16048" width="12.5" style="123" customWidth="1"/>
    <col min="16049" max="16049" width="12" style="123" customWidth="1"/>
    <col min="16050" max="16050" width="11" style="123" customWidth="1"/>
    <col min="16051" max="16051" width="12.625" style="123" customWidth="1"/>
    <col min="16052" max="16052" width="13.125" style="123" customWidth="1"/>
    <col min="16053" max="16053" width="11.375" style="123" customWidth="1"/>
    <col min="16054" max="16054" width="13.375" style="123" customWidth="1"/>
    <col min="16055" max="16055" width="15.375" style="123" customWidth="1"/>
    <col min="16056" max="16056" width="14.5" style="123" customWidth="1"/>
    <col min="16057" max="16057" width="13.125" style="123" customWidth="1"/>
    <col min="16058" max="16058" width="13" style="123" customWidth="1"/>
    <col min="16059" max="16059" width="12.625" style="123" customWidth="1"/>
    <col min="16060" max="16061" width="10.625" style="123" customWidth="1"/>
    <col min="16062" max="16062" width="11.375" style="123" customWidth="1"/>
    <col min="16063" max="16063" width="13.5" style="123" customWidth="1"/>
    <col min="16064" max="16384" width="8.5" style="123"/>
  </cols>
  <sheetData>
    <row r="2" spans="1:48" x14ac:dyDescent="0.25">
      <c r="A2" s="122" t="s">
        <v>92</v>
      </c>
    </row>
    <row r="3" spans="1:48" x14ac:dyDescent="0.25">
      <c r="A3" s="124" t="s">
        <v>93</v>
      </c>
    </row>
    <row r="4" spans="1:48" x14ac:dyDescent="0.25">
      <c r="A4" s="124" t="s">
        <v>94</v>
      </c>
    </row>
    <row r="5" spans="1:48" x14ac:dyDescent="0.25">
      <c r="A5" s="124" t="s">
        <v>95</v>
      </c>
    </row>
    <row r="6" spans="1:48" x14ac:dyDescent="0.25">
      <c r="A6" s="124" t="s">
        <v>96</v>
      </c>
    </row>
    <row r="7" spans="1:48" x14ac:dyDescent="0.25">
      <c r="A7" s="124" t="s">
        <v>97</v>
      </c>
    </row>
    <row r="8" spans="1:48" ht="16.5" thickBot="1" x14ac:dyDescent="0.3">
      <c r="A8" s="122" t="s">
        <v>98</v>
      </c>
    </row>
    <row r="9" spans="1:48" ht="16.5" thickBot="1" x14ac:dyDescent="0.3">
      <c r="J9" s="755" t="s">
        <v>99</v>
      </c>
      <c r="K9" s="756"/>
      <c r="L9" s="756"/>
      <c r="M9" s="756"/>
      <c r="N9" s="756"/>
      <c r="O9" s="756"/>
      <c r="P9" s="756"/>
      <c r="Q9" s="126"/>
    </row>
    <row r="10" spans="1:48" s="127" customFormat="1" ht="18.75" thickBot="1" x14ac:dyDescent="0.3">
      <c r="A10" s="763" t="s">
        <v>100</v>
      </c>
      <c r="B10" s="763" t="s">
        <v>101</v>
      </c>
      <c r="C10" s="765" t="s">
        <v>102</v>
      </c>
      <c r="D10" s="767" t="s">
        <v>103</v>
      </c>
      <c r="E10" s="768"/>
      <c r="F10" s="769"/>
      <c r="G10" s="767" t="s">
        <v>104</v>
      </c>
      <c r="H10" s="768"/>
      <c r="I10" s="768"/>
      <c r="J10" s="824" t="s">
        <v>105</v>
      </c>
      <c r="K10" s="825"/>
      <c r="L10" s="825"/>
      <c r="M10" s="826"/>
      <c r="N10" s="827" t="s">
        <v>106</v>
      </c>
      <c r="O10" s="828"/>
      <c r="P10" s="828"/>
      <c r="Q10" s="829"/>
      <c r="S10" s="128" t="s">
        <v>107</v>
      </c>
      <c r="T10" s="128"/>
      <c r="U10" s="128"/>
      <c r="V10" s="128"/>
      <c r="W10" s="128"/>
      <c r="X10" s="128"/>
      <c r="Y10" s="128"/>
    </row>
    <row r="11" spans="1:48" s="127" customFormat="1" ht="45.75" thickBot="1" x14ac:dyDescent="0.3">
      <c r="A11" s="764"/>
      <c r="B11" s="764"/>
      <c r="C11" s="766"/>
      <c r="D11" s="129" t="s">
        <v>108</v>
      </c>
      <c r="E11" s="129" t="s">
        <v>109</v>
      </c>
      <c r="F11" s="129" t="s">
        <v>110</v>
      </c>
      <c r="G11" s="129" t="s">
        <v>108</v>
      </c>
      <c r="H11" s="129" t="s">
        <v>109</v>
      </c>
      <c r="I11" s="129" t="s">
        <v>110</v>
      </c>
      <c r="J11" s="130" t="s">
        <v>108</v>
      </c>
      <c r="K11" s="130" t="s">
        <v>109</v>
      </c>
      <c r="L11" s="131" t="s">
        <v>110</v>
      </c>
      <c r="M11" s="132" t="s">
        <v>111</v>
      </c>
      <c r="N11" s="133" t="s">
        <v>108</v>
      </c>
      <c r="O11" s="133" t="s">
        <v>109</v>
      </c>
      <c r="P11" s="133" t="s">
        <v>110</v>
      </c>
      <c r="Q11" s="134" t="s">
        <v>111</v>
      </c>
      <c r="R11" s="133" t="s">
        <v>112</v>
      </c>
      <c r="S11" s="133" t="s">
        <v>108</v>
      </c>
      <c r="T11" s="133" t="s">
        <v>109</v>
      </c>
      <c r="U11" s="135" t="s">
        <v>110</v>
      </c>
      <c r="W11" s="135" t="s">
        <v>108</v>
      </c>
      <c r="X11" s="135" t="s">
        <v>109</v>
      </c>
      <c r="Y11" s="135" t="s">
        <v>110</v>
      </c>
      <c r="AB11" s="136" t="s">
        <v>113</v>
      </c>
      <c r="AC11" s="136" t="s">
        <v>114</v>
      </c>
      <c r="AD11" s="136" t="s">
        <v>115</v>
      </c>
      <c r="AE11" s="133" t="s">
        <v>116</v>
      </c>
      <c r="AF11" s="135" t="s">
        <v>117</v>
      </c>
      <c r="AG11" s="137" t="s">
        <v>118</v>
      </c>
      <c r="AH11" s="137" t="s">
        <v>119</v>
      </c>
      <c r="AI11" s="137" t="s">
        <v>120</v>
      </c>
      <c r="AJ11" s="137"/>
      <c r="AO11" s="127">
        <f>(4+3+2)/3</f>
        <v>3</v>
      </c>
    </row>
    <row r="12" spans="1:48" ht="17.25" thickTop="1" thickBot="1" x14ac:dyDescent="0.3">
      <c r="A12" s="138" t="s">
        <v>121</v>
      </c>
      <c r="B12" s="139" t="s">
        <v>121</v>
      </c>
      <c r="C12" s="140" t="e">
        <f>'[1]Pop-Alvo-CNMenAfricVac por AS'!D18</f>
        <v>#REF!</v>
      </c>
      <c r="D12" s="141">
        <v>0.53767247337967539</v>
      </c>
      <c r="E12" s="141">
        <v>0.20421013423946158</v>
      </c>
      <c r="F12" s="141">
        <v>0.25811739238086279</v>
      </c>
      <c r="G12" s="142" t="e">
        <f t="shared" ref="G12:G75" si="0">C12*D12</f>
        <v>#REF!</v>
      </c>
      <c r="H12" s="142" t="e">
        <f t="shared" ref="H12:H75" si="1">C12*E12</f>
        <v>#REF!</v>
      </c>
      <c r="I12" s="142" t="e">
        <f t="shared" ref="I12:I75" si="2">C12*F12</f>
        <v>#REF!</v>
      </c>
      <c r="J12" s="143" t="e">
        <f>G12*20.3%</f>
        <v>#REF!</v>
      </c>
      <c r="K12" s="143" t="e">
        <f>H12*20.3%</f>
        <v>#REF!</v>
      </c>
      <c r="L12" s="144" t="e">
        <f>I12*20.3%</f>
        <v>#REF!</v>
      </c>
      <c r="M12" s="145" t="e">
        <f t="shared" ref="M12:M43" si="3">SUM(J12:L12)</f>
        <v>#REF!</v>
      </c>
      <c r="N12" s="146" t="e">
        <f>ROUND(J12/150/7,0)</f>
        <v>#REF!</v>
      </c>
      <c r="O12" s="146" t="e">
        <f>ROUND(K12/100/7,0)</f>
        <v>#REF!</v>
      </c>
      <c r="P12" s="146" t="e">
        <f>ROUND(L12/60/7,0)</f>
        <v>#REF!</v>
      </c>
      <c r="Q12" s="147" t="e">
        <f>SUM(N12:P12)</f>
        <v>#REF!</v>
      </c>
      <c r="R12" s="148" t="e">
        <f>ROUND(M12/100/7,0)</f>
        <v>#REF!</v>
      </c>
      <c r="S12" s="149" t="e">
        <f t="shared" ref="S12:T43" si="4">N12/100</f>
        <v>#REF!</v>
      </c>
      <c r="T12" s="149" t="e">
        <f t="shared" si="4"/>
        <v>#REF!</v>
      </c>
      <c r="U12" s="149" t="e">
        <f t="shared" ref="U12:U75" si="5">P12/50</f>
        <v>#REF!</v>
      </c>
      <c r="V12" s="148"/>
      <c r="W12" s="148" t="e">
        <f>ROUND(IF(S12&lt;=15,S12,15),0)</f>
        <v>#REF!</v>
      </c>
      <c r="X12" s="148" t="e">
        <f t="shared" ref="X12:Y27" si="6">ROUND(IF(W12&lt;=15,W12,15),0)</f>
        <v>#REF!</v>
      </c>
      <c r="Y12" s="148" t="e">
        <f t="shared" si="6"/>
        <v>#REF!</v>
      </c>
      <c r="Z12" s="148"/>
      <c r="AA12" s="148"/>
      <c r="AB12" s="72" t="s">
        <v>122</v>
      </c>
      <c r="AC12" s="72">
        <v>14</v>
      </c>
      <c r="AD12" s="148">
        <f>ROUND((3*AC12/15),0)</f>
        <v>3</v>
      </c>
      <c r="AE12" s="150" t="e">
        <f>ROUND(M12/104/7,0)</f>
        <v>#REF!</v>
      </c>
      <c r="AF12" s="151">
        <v>21</v>
      </c>
      <c r="AG12" s="152">
        <f>AF12*2</f>
        <v>42</v>
      </c>
      <c r="AH12" s="149">
        <f>AF12*1</f>
        <v>21</v>
      </c>
      <c r="AI12" s="149">
        <f>AF12/3</f>
        <v>7</v>
      </c>
      <c r="AJ12" s="152">
        <v>7</v>
      </c>
      <c r="AK12" s="149">
        <v>7</v>
      </c>
      <c r="AL12" s="148"/>
      <c r="AM12" s="148"/>
      <c r="AN12" s="148"/>
      <c r="AO12" s="148"/>
      <c r="AP12" s="148"/>
      <c r="AQ12" s="148"/>
      <c r="AR12" s="72"/>
      <c r="AS12" s="72"/>
      <c r="AT12" s="148"/>
      <c r="AU12" s="150"/>
      <c r="AV12" s="151"/>
    </row>
    <row r="13" spans="1:48" ht="17.25" thickTop="1" thickBot="1" x14ac:dyDescent="0.3">
      <c r="A13" s="138" t="s">
        <v>121</v>
      </c>
      <c r="B13" s="153" t="s">
        <v>123</v>
      </c>
      <c r="C13" s="140" t="e">
        <f>'[1]Pop-Alvo-CNMenAfricVac por AS'!D19</f>
        <v>#REF!</v>
      </c>
      <c r="D13" s="141">
        <v>0.46004681674999276</v>
      </c>
      <c r="E13" s="141">
        <v>0.35363985781579621</v>
      </c>
      <c r="F13" s="141">
        <v>0.18631332543421095</v>
      </c>
      <c r="G13" s="142" t="e">
        <f t="shared" si="0"/>
        <v>#REF!</v>
      </c>
      <c r="H13" s="142" t="e">
        <f t="shared" si="1"/>
        <v>#REF!</v>
      </c>
      <c r="I13" s="142" t="e">
        <f t="shared" si="2"/>
        <v>#REF!</v>
      </c>
      <c r="J13" s="143" t="e">
        <f t="shared" ref="J13:L76" si="7">G13*20.3%</f>
        <v>#REF!</v>
      </c>
      <c r="K13" s="143" t="e">
        <f t="shared" si="7"/>
        <v>#REF!</v>
      </c>
      <c r="L13" s="144" t="e">
        <f t="shared" si="7"/>
        <v>#REF!</v>
      </c>
      <c r="M13" s="145" t="e">
        <f t="shared" si="3"/>
        <v>#REF!</v>
      </c>
      <c r="N13" s="146" t="e">
        <f t="shared" ref="N13:N76" si="8">ROUND(J13/150/7,0)</f>
        <v>#REF!</v>
      </c>
      <c r="O13" s="146" t="e">
        <f t="shared" ref="O13:O76" si="9">ROUND(K13/100/7,0)</f>
        <v>#REF!</v>
      </c>
      <c r="P13" s="146" t="e">
        <f t="shared" ref="P13:P76" si="10">ROUND(L13/60/7,0)</f>
        <v>#REF!</v>
      </c>
      <c r="Q13" s="147" t="e">
        <f t="shared" ref="Q13:Q76" si="11">SUM(N13:P13)</f>
        <v>#REF!</v>
      </c>
      <c r="R13" s="148" t="e">
        <f t="shared" ref="R13:R76" si="12">ROUND(M13/100/7,0)</f>
        <v>#REF!</v>
      </c>
      <c r="S13" s="149" t="e">
        <f t="shared" si="4"/>
        <v>#REF!</v>
      </c>
      <c r="T13" s="149" t="e">
        <f t="shared" si="4"/>
        <v>#REF!</v>
      </c>
      <c r="U13" s="149" t="e">
        <f t="shared" si="5"/>
        <v>#REF!</v>
      </c>
      <c r="V13" s="148"/>
      <c r="W13" s="148" t="e">
        <f t="shared" ref="W13:W76" si="13">ROUND(IF(S13&lt;=15,S13,15),0)</f>
        <v>#REF!</v>
      </c>
      <c r="X13" s="148" t="e">
        <f t="shared" si="6"/>
        <v>#REF!</v>
      </c>
      <c r="Y13" s="148" t="e">
        <f t="shared" si="6"/>
        <v>#REF!</v>
      </c>
      <c r="Z13" s="148"/>
      <c r="AA13" s="148"/>
      <c r="AB13" s="72" t="s">
        <v>124</v>
      </c>
      <c r="AC13" s="72">
        <v>11</v>
      </c>
      <c r="AD13" s="148">
        <f t="shared" ref="AD13:AD22" si="14">ROUND((3*AC13/15),0)</f>
        <v>2</v>
      </c>
      <c r="AE13" s="150" t="e">
        <f t="shared" ref="AE13:AE76" si="15">ROUND(M13/104/7,0)</f>
        <v>#REF!</v>
      </c>
      <c r="AF13" s="154">
        <v>11</v>
      </c>
      <c r="AG13" s="152">
        <f t="shared" ref="AG13:AG76" si="16">AF13*2</f>
        <v>22</v>
      </c>
      <c r="AH13" s="149">
        <f t="shared" ref="AH13:AH76" si="17">AF13*1</f>
        <v>11</v>
      </c>
      <c r="AI13" s="149">
        <f t="shared" ref="AI13:AI76" si="18">AF13/3</f>
        <v>3.6666666666666665</v>
      </c>
      <c r="AJ13" s="152">
        <v>4</v>
      </c>
      <c r="AK13" s="149"/>
      <c r="AL13" s="148"/>
      <c r="AM13" s="148"/>
      <c r="AN13" s="148"/>
      <c r="AO13" s="148"/>
      <c r="AP13" s="148"/>
      <c r="AQ13" s="148"/>
      <c r="AR13" s="72"/>
      <c r="AS13" s="72"/>
      <c r="AT13" s="148"/>
      <c r="AU13" s="150"/>
      <c r="AV13" s="154"/>
    </row>
    <row r="14" spans="1:48" ht="17.25" thickTop="1" thickBot="1" x14ac:dyDescent="0.3">
      <c r="A14" s="138" t="s">
        <v>121</v>
      </c>
      <c r="B14" s="153" t="s">
        <v>125</v>
      </c>
      <c r="C14" s="140" t="e">
        <f>'[1]Pop-Alvo-CNMenAfricVac por AS'!D20</f>
        <v>#REF!</v>
      </c>
      <c r="D14" s="141">
        <v>0.3380566046202938</v>
      </c>
      <c r="E14" s="141">
        <v>0.65875486840831077</v>
      </c>
      <c r="F14" s="141">
        <v>3.1885269713953705E-3</v>
      </c>
      <c r="G14" s="142" t="e">
        <f t="shared" si="0"/>
        <v>#REF!</v>
      </c>
      <c r="H14" s="142" t="e">
        <f t="shared" si="1"/>
        <v>#REF!</v>
      </c>
      <c r="I14" s="142" t="e">
        <f t="shared" si="2"/>
        <v>#REF!</v>
      </c>
      <c r="J14" s="143" t="e">
        <f t="shared" si="7"/>
        <v>#REF!</v>
      </c>
      <c r="K14" s="143" t="e">
        <f t="shared" si="7"/>
        <v>#REF!</v>
      </c>
      <c r="L14" s="144" t="e">
        <f t="shared" si="7"/>
        <v>#REF!</v>
      </c>
      <c r="M14" s="145" t="e">
        <f t="shared" si="3"/>
        <v>#REF!</v>
      </c>
      <c r="N14" s="146" t="e">
        <f t="shared" si="8"/>
        <v>#REF!</v>
      </c>
      <c r="O14" s="146" t="e">
        <f t="shared" si="9"/>
        <v>#REF!</v>
      </c>
      <c r="P14" s="146" t="e">
        <f t="shared" si="10"/>
        <v>#REF!</v>
      </c>
      <c r="Q14" s="147" t="e">
        <f t="shared" si="11"/>
        <v>#REF!</v>
      </c>
      <c r="R14" s="148" t="e">
        <f t="shared" si="12"/>
        <v>#REF!</v>
      </c>
      <c r="S14" s="149" t="e">
        <f t="shared" si="4"/>
        <v>#REF!</v>
      </c>
      <c r="T14" s="149" t="e">
        <f t="shared" si="4"/>
        <v>#REF!</v>
      </c>
      <c r="U14" s="149" t="e">
        <f t="shared" si="5"/>
        <v>#REF!</v>
      </c>
      <c r="V14" s="148"/>
      <c r="W14" s="148" t="e">
        <f t="shared" si="13"/>
        <v>#REF!</v>
      </c>
      <c r="X14" s="148" t="e">
        <f t="shared" si="6"/>
        <v>#REF!</v>
      </c>
      <c r="Y14" s="148" t="e">
        <f t="shared" si="6"/>
        <v>#REF!</v>
      </c>
      <c r="Z14" s="148"/>
      <c r="AA14" s="148"/>
      <c r="AB14" s="72" t="s">
        <v>126</v>
      </c>
      <c r="AC14" s="72">
        <v>8</v>
      </c>
      <c r="AD14" s="148">
        <f t="shared" si="14"/>
        <v>2</v>
      </c>
      <c r="AE14" s="150" t="e">
        <f t="shared" si="15"/>
        <v>#REF!</v>
      </c>
      <c r="AF14" s="154">
        <v>4</v>
      </c>
      <c r="AG14" s="152">
        <f t="shared" si="16"/>
        <v>8</v>
      </c>
      <c r="AH14" s="149">
        <f t="shared" si="17"/>
        <v>4</v>
      </c>
      <c r="AI14" s="149">
        <f t="shared" si="18"/>
        <v>1.3333333333333333</v>
      </c>
      <c r="AJ14" s="152">
        <v>1</v>
      </c>
      <c r="AK14" s="149"/>
      <c r="AL14" s="148"/>
      <c r="AM14" s="148"/>
      <c r="AN14" s="148"/>
      <c r="AO14" s="148"/>
      <c r="AP14" s="148"/>
      <c r="AQ14" s="148"/>
      <c r="AR14" s="72"/>
      <c r="AS14" s="72"/>
      <c r="AT14" s="148"/>
      <c r="AU14" s="150"/>
      <c r="AV14" s="154"/>
    </row>
    <row r="15" spans="1:48" ht="17.25" thickTop="1" thickBot="1" x14ac:dyDescent="0.3">
      <c r="A15" s="138" t="s">
        <v>121</v>
      </c>
      <c r="B15" s="153" t="s">
        <v>127</v>
      </c>
      <c r="C15" s="140" t="e">
        <f>'[1]Pop-Alvo-CNMenAfricVac por AS'!D21</f>
        <v>#REF!</v>
      </c>
      <c r="D15" s="141">
        <v>0.27521547771868676</v>
      </c>
      <c r="E15" s="141">
        <v>0.44837704016137869</v>
      </c>
      <c r="F15" s="141">
        <v>0.27640748211993371</v>
      </c>
      <c r="G15" s="142" t="e">
        <f t="shared" si="0"/>
        <v>#REF!</v>
      </c>
      <c r="H15" s="142" t="e">
        <f t="shared" si="1"/>
        <v>#REF!</v>
      </c>
      <c r="I15" s="142" t="e">
        <f t="shared" si="2"/>
        <v>#REF!</v>
      </c>
      <c r="J15" s="143" t="e">
        <f t="shared" si="7"/>
        <v>#REF!</v>
      </c>
      <c r="K15" s="143" t="e">
        <f t="shared" si="7"/>
        <v>#REF!</v>
      </c>
      <c r="L15" s="144" t="e">
        <f t="shared" si="7"/>
        <v>#REF!</v>
      </c>
      <c r="M15" s="145" t="e">
        <f t="shared" si="3"/>
        <v>#REF!</v>
      </c>
      <c r="N15" s="146" t="e">
        <f t="shared" si="8"/>
        <v>#REF!</v>
      </c>
      <c r="O15" s="146" t="e">
        <f t="shared" si="9"/>
        <v>#REF!</v>
      </c>
      <c r="P15" s="146" t="e">
        <f t="shared" si="10"/>
        <v>#REF!</v>
      </c>
      <c r="Q15" s="147" t="e">
        <f t="shared" si="11"/>
        <v>#REF!</v>
      </c>
      <c r="R15" s="148" t="e">
        <f t="shared" si="12"/>
        <v>#REF!</v>
      </c>
      <c r="S15" s="149" t="e">
        <f t="shared" si="4"/>
        <v>#REF!</v>
      </c>
      <c r="T15" s="149" t="e">
        <f t="shared" si="4"/>
        <v>#REF!</v>
      </c>
      <c r="U15" s="149" t="e">
        <f t="shared" si="5"/>
        <v>#REF!</v>
      </c>
      <c r="V15" s="148"/>
      <c r="W15" s="148" t="e">
        <f t="shared" si="13"/>
        <v>#REF!</v>
      </c>
      <c r="X15" s="148" t="e">
        <f t="shared" si="6"/>
        <v>#REF!</v>
      </c>
      <c r="Y15" s="148" t="e">
        <f t="shared" si="6"/>
        <v>#REF!</v>
      </c>
      <c r="Z15" s="148"/>
      <c r="AA15" s="148"/>
      <c r="AB15" s="72" t="s">
        <v>128</v>
      </c>
      <c r="AC15" s="72">
        <v>3</v>
      </c>
      <c r="AD15" s="148">
        <f t="shared" si="14"/>
        <v>1</v>
      </c>
      <c r="AE15" s="150" t="e">
        <f t="shared" si="15"/>
        <v>#REF!</v>
      </c>
      <c r="AF15" s="154">
        <v>10</v>
      </c>
      <c r="AG15" s="152">
        <f t="shared" si="16"/>
        <v>20</v>
      </c>
      <c r="AH15" s="149">
        <f t="shared" si="17"/>
        <v>10</v>
      </c>
      <c r="AI15" s="149">
        <f t="shared" si="18"/>
        <v>3.3333333333333335</v>
      </c>
      <c r="AJ15" s="152">
        <v>3</v>
      </c>
      <c r="AK15" s="149"/>
      <c r="AL15" s="148"/>
      <c r="AM15" s="148"/>
      <c r="AN15" s="148"/>
      <c r="AO15" s="148"/>
      <c r="AP15" s="148"/>
      <c r="AQ15" s="148"/>
      <c r="AR15" s="72"/>
      <c r="AS15" s="72"/>
      <c r="AT15" s="148"/>
      <c r="AU15" s="150"/>
      <c r="AV15" s="154"/>
    </row>
    <row r="16" spans="1:48" ht="17.25" thickTop="1" thickBot="1" x14ac:dyDescent="0.3">
      <c r="A16" s="138" t="s">
        <v>121</v>
      </c>
      <c r="B16" s="153" t="s">
        <v>129</v>
      </c>
      <c r="C16" s="140" t="e">
        <f>'[1]Pop-Alvo-CNMenAfricVac por AS'!D22</f>
        <v>#REF!</v>
      </c>
      <c r="D16" s="141">
        <v>0.23420769632949398</v>
      </c>
      <c r="E16" s="141">
        <v>0.64047436276301262</v>
      </c>
      <c r="F16" s="141">
        <v>0.12531794090749335</v>
      </c>
      <c r="G16" s="142" t="e">
        <f t="shared" si="0"/>
        <v>#REF!</v>
      </c>
      <c r="H16" s="142" t="e">
        <f t="shared" si="1"/>
        <v>#REF!</v>
      </c>
      <c r="I16" s="142" t="e">
        <f t="shared" si="2"/>
        <v>#REF!</v>
      </c>
      <c r="J16" s="143" t="e">
        <f t="shared" si="7"/>
        <v>#REF!</v>
      </c>
      <c r="K16" s="143" t="e">
        <f t="shared" si="7"/>
        <v>#REF!</v>
      </c>
      <c r="L16" s="144" t="e">
        <f t="shared" si="7"/>
        <v>#REF!</v>
      </c>
      <c r="M16" s="145" t="e">
        <f t="shared" si="3"/>
        <v>#REF!</v>
      </c>
      <c r="N16" s="146" t="e">
        <f t="shared" si="8"/>
        <v>#REF!</v>
      </c>
      <c r="O16" s="146" t="e">
        <f t="shared" si="9"/>
        <v>#REF!</v>
      </c>
      <c r="P16" s="146" t="e">
        <f t="shared" si="10"/>
        <v>#REF!</v>
      </c>
      <c r="Q16" s="147" t="e">
        <f t="shared" si="11"/>
        <v>#REF!</v>
      </c>
      <c r="R16" s="148" t="e">
        <f t="shared" si="12"/>
        <v>#REF!</v>
      </c>
      <c r="S16" s="149" t="e">
        <f t="shared" si="4"/>
        <v>#REF!</v>
      </c>
      <c r="T16" s="149" t="e">
        <f t="shared" si="4"/>
        <v>#REF!</v>
      </c>
      <c r="U16" s="149" t="e">
        <f t="shared" si="5"/>
        <v>#REF!</v>
      </c>
      <c r="V16" s="148"/>
      <c r="W16" s="148" t="e">
        <f t="shared" si="13"/>
        <v>#REF!</v>
      </c>
      <c r="X16" s="148" t="e">
        <f t="shared" si="6"/>
        <v>#REF!</v>
      </c>
      <c r="Y16" s="148" t="e">
        <f t="shared" si="6"/>
        <v>#REF!</v>
      </c>
      <c r="Z16" s="148"/>
      <c r="AA16" s="148"/>
      <c r="AB16" s="72" t="s">
        <v>89</v>
      </c>
      <c r="AC16" s="72">
        <v>19</v>
      </c>
      <c r="AD16" s="148">
        <f t="shared" si="14"/>
        <v>4</v>
      </c>
      <c r="AE16" s="150" t="e">
        <f t="shared" si="15"/>
        <v>#REF!</v>
      </c>
      <c r="AF16" s="154">
        <v>8</v>
      </c>
      <c r="AG16" s="152">
        <f t="shared" si="16"/>
        <v>16</v>
      </c>
      <c r="AH16" s="149">
        <f t="shared" si="17"/>
        <v>8</v>
      </c>
      <c r="AI16" s="149">
        <f t="shared" si="18"/>
        <v>2.6666666666666665</v>
      </c>
      <c r="AJ16" s="152">
        <v>3</v>
      </c>
      <c r="AK16" s="149"/>
      <c r="AL16" s="148"/>
      <c r="AM16" s="148"/>
      <c r="AN16" s="148"/>
      <c r="AO16" s="148"/>
      <c r="AP16" s="148"/>
      <c r="AQ16" s="148"/>
      <c r="AR16" s="72"/>
      <c r="AS16" s="72"/>
      <c r="AT16" s="148"/>
      <c r="AU16" s="150"/>
      <c r="AV16" s="154"/>
    </row>
    <row r="17" spans="1:48" ht="17.25" thickTop="1" thickBot="1" x14ac:dyDescent="0.3">
      <c r="A17" s="138" t="s">
        <v>121</v>
      </c>
      <c r="B17" s="153" t="s">
        <v>130</v>
      </c>
      <c r="C17" s="140" t="e">
        <f>'[1]Pop-Alvo-CNMenAfricVac por AS'!D23</f>
        <v>#REF!</v>
      </c>
      <c r="D17" s="141">
        <v>0.31691438219199952</v>
      </c>
      <c r="E17" s="141">
        <v>0.60347209833530924</v>
      </c>
      <c r="F17" s="141">
        <v>7.9613519472690616E-2</v>
      </c>
      <c r="G17" s="142" t="e">
        <f t="shared" si="0"/>
        <v>#REF!</v>
      </c>
      <c r="H17" s="142" t="e">
        <f t="shared" si="1"/>
        <v>#REF!</v>
      </c>
      <c r="I17" s="142" t="e">
        <f t="shared" si="2"/>
        <v>#REF!</v>
      </c>
      <c r="J17" s="143" t="e">
        <f t="shared" si="7"/>
        <v>#REF!</v>
      </c>
      <c r="K17" s="143" t="e">
        <f t="shared" si="7"/>
        <v>#REF!</v>
      </c>
      <c r="L17" s="144" t="e">
        <f t="shared" si="7"/>
        <v>#REF!</v>
      </c>
      <c r="M17" s="145" t="e">
        <f t="shared" si="3"/>
        <v>#REF!</v>
      </c>
      <c r="N17" s="146" t="e">
        <f t="shared" si="8"/>
        <v>#REF!</v>
      </c>
      <c r="O17" s="146" t="e">
        <f t="shared" si="9"/>
        <v>#REF!</v>
      </c>
      <c r="P17" s="146" t="e">
        <f t="shared" si="10"/>
        <v>#REF!</v>
      </c>
      <c r="Q17" s="147" t="e">
        <f t="shared" si="11"/>
        <v>#REF!</v>
      </c>
      <c r="R17" s="148" t="e">
        <f t="shared" si="12"/>
        <v>#REF!</v>
      </c>
      <c r="S17" s="149" t="e">
        <f t="shared" si="4"/>
        <v>#REF!</v>
      </c>
      <c r="T17" s="149" t="e">
        <f t="shared" si="4"/>
        <v>#REF!</v>
      </c>
      <c r="U17" s="149" t="e">
        <f t="shared" si="5"/>
        <v>#REF!</v>
      </c>
      <c r="V17" s="148"/>
      <c r="W17" s="148" t="e">
        <f t="shared" si="13"/>
        <v>#REF!</v>
      </c>
      <c r="X17" s="148" t="e">
        <f t="shared" si="6"/>
        <v>#REF!</v>
      </c>
      <c r="Y17" s="148" t="e">
        <f t="shared" si="6"/>
        <v>#REF!</v>
      </c>
      <c r="Z17" s="148"/>
      <c r="AA17" s="148"/>
      <c r="AB17" s="72" t="s">
        <v>131</v>
      </c>
      <c r="AC17" s="72">
        <v>5</v>
      </c>
      <c r="AD17" s="148">
        <f t="shared" si="14"/>
        <v>1</v>
      </c>
      <c r="AE17" s="150" t="e">
        <f t="shared" si="15"/>
        <v>#REF!</v>
      </c>
      <c r="AF17" s="154">
        <v>4</v>
      </c>
      <c r="AG17" s="152">
        <f t="shared" si="16"/>
        <v>8</v>
      </c>
      <c r="AH17" s="149">
        <f t="shared" si="17"/>
        <v>4</v>
      </c>
      <c r="AI17" s="149">
        <f t="shared" si="18"/>
        <v>1.3333333333333333</v>
      </c>
      <c r="AJ17" s="152">
        <v>1</v>
      </c>
      <c r="AK17" s="149"/>
      <c r="AL17" s="148"/>
      <c r="AM17" s="148"/>
      <c r="AN17" s="148"/>
      <c r="AO17" s="148"/>
      <c r="AP17" s="148"/>
      <c r="AQ17" s="148"/>
      <c r="AR17" s="72"/>
      <c r="AS17" s="72"/>
      <c r="AT17" s="148"/>
      <c r="AU17" s="150"/>
      <c r="AV17" s="154"/>
    </row>
    <row r="18" spans="1:48" ht="17.25" thickTop="1" thickBot="1" x14ac:dyDescent="0.3">
      <c r="A18" s="138" t="s">
        <v>121</v>
      </c>
      <c r="B18" s="153" t="s">
        <v>132</v>
      </c>
      <c r="C18" s="140" t="e">
        <f>'[1]Pop-Alvo-CNMenAfricVac por AS'!D24</f>
        <v>#REF!</v>
      </c>
      <c r="D18" s="141">
        <v>0.15877368055245586</v>
      </c>
      <c r="E18" s="141">
        <v>0.55083669691230885</v>
      </c>
      <c r="F18" s="141">
        <v>0.29038962253523509</v>
      </c>
      <c r="G18" s="142" t="e">
        <f t="shared" si="0"/>
        <v>#REF!</v>
      </c>
      <c r="H18" s="142" t="e">
        <f t="shared" si="1"/>
        <v>#REF!</v>
      </c>
      <c r="I18" s="142" t="e">
        <f t="shared" si="2"/>
        <v>#REF!</v>
      </c>
      <c r="J18" s="143" t="e">
        <f t="shared" si="7"/>
        <v>#REF!</v>
      </c>
      <c r="K18" s="143" t="e">
        <f t="shared" si="7"/>
        <v>#REF!</v>
      </c>
      <c r="L18" s="144" t="e">
        <f t="shared" si="7"/>
        <v>#REF!</v>
      </c>
      <c r="M18" s="145" t="e">
        <f t="shared" si="3"/>
        <v>#REF!</v>
      </c>
      <c r="N18" s="146" t="e">
        <f t="shared" si="8"/>
        <v>#REF!</v>
      </c>
      <c r="O18" s="146" t="e">
        <f t="shared" si="9"/>
        <v>#REF!</v>
      </c>
      <c r="P18" s="146" t="e">
        <f t="shared" si="10"/>
        <v>#REF!</v>
      </c>
      <c r="Q18" s="147" t="e">
        <f t="shared" si="11"/>
        <v>#REF!</v>
      </c>
      <c r="R18" s="148" t="e">
        <f t="shared" si="12"/>
        <v>#REF!</v>
      </c>
      <c r="S18" s="149" t="e">
        <f t="shared" si="4"/>
        <v>#REF!</v>
      </c>
      <c r="T18" s="149" t="e">
        <f t="shared" si="4"/>
        <v>#REF!</v>
      </c>
      <c r="U18" s="149" t="e">
        <f t="shared" si="5"/>
        <v>#REF!</v>
      </c>
      <c r="V18" s="148"/>
      <c r="W18" s="148" t="e">
        <f t="shared" si="13"/>
        <v>#REF!</v>
      </c>
      <c r="X18" s="148" t="e">
        <f t="shared" si="6"/>
        <v>#REF!</v>
      </c>
      <c r="Y18" s="148" t="e">
        <f t="shared" si="6"/>
        <v>#REF!</v>
      </c>
      <c r="Z18" s="148"/>
      <c r="AA18" s="148"/>
      <c r="AB18" s="72" t="s">
        <v>133</v>
      </c>
      <c r="AC18" s="72">
        <v>19</v>
      </c>
      <c r="AD18" s="148">
        <f t="shared" si="14"/>
        <v>4</v>
      </c>
      <c r="AE18" s="150" t="e">
        <f t="shared" si="15"/>
        <v>#REF!</v>
      </c>
      <c r="AF18" s="154">
        <v>1</v>
      </c>
      <c r="AG18" s="152">
        <f t="shared" si="16"/>
        <v>2</v>
      </c>
      <c r="AH18" s="149">
        <f t="shared" si="17"/>
        <v>1</v>
      </c>
      <c r="AI18" s="149">
        <f t="shared" si="18"/>
        <v>0.33333333333333331</v>
      </c>
      <c r="AJ18" s="152">
        <v>1</v>
      </c>
      <c r="AK18" s="149"/>
      <c r="AL18" s="148"/>
      <c r="AM18" s="148"/>
      <c r="AN18" s="148"/>
      <c r="AO18" s="148"/>
      <c r="AP18" s="148"/>
      <c r="AQ18" s="148"/>
      <c r="AR18" s="72"/>
      <c r="AS18" s="72"/>
      <c r="AT18" s="148"/>
      <c r="AU18" s="150"/>
      <c r="AV18" s="154"/>
    </row>
    <row r="19" spans="1:48" ht="17.25" thickTop="1" thickBot="1" x14ac:dyDescent="0.3">
      <c r="A19" s="138" t="s">
        <v>121</v>
      </c>
      <c r="B19" s="153" t="s">
        <v>134</v>
      </c>
      <c r="C19" s="140" t="e">
        <f>'[1]Pop-Alvo-CNMenAfricVac por AS'!D25</f>
        <v>#REF!</v>
      </c>
      <c r="D19" s="141">
        <v>0.14049073180983435</v>
      </c>
      <c r="E19" s="141">
        <v>0.51843492182144368</v>
      </c>
      <c r="F19" s="141">
        <v>0.34107434636872097</v>
      </c>
      <c r="G19" s="142" t="e">
        <f t="shared" si="0"/>
        <v>#REF!</v>
      </c>
      <c r="H19" s="142" t="e">
        <f t="shared" si="1"/>
        <v>#REF!</v>
      </c>
      <c r="I19" s="142" t="e">
        <f t="shared" si="2"/>
        <v>#REF!</v>
      </c>
      <c r="J19" s="143" t="e">
        <f t="shared" si="7"/>
        <v>#REF!</v>
      </c>
      <c r="K19" s="143" t="e">
        <f t="shared" si="7"/>
        <v>#REF!</v>
      </c>
      <c r="L19" s="144" t="e">
        <f t="shared" si="7"/>
        <v>#REF!</v>
      </c>
      <c r="M19" s="145" t="e">
        <f t="shared" si="3"/>
        <v>#REF!</v>
      </c>
      <c r="N19" s="146" t="e">
        <f t="shared" si="8"/>
        <v>#REF!</v>
      </c>
      <c r="O19" s="146" t="e">
        <f t="shared" si="9"/>
        <v>#REF!</v>
      </c>
      <c r="P19" s="146" t="e">
        <f t="shared" si="10"/>
        <v>#REF!</v>
      </c>
      <c r="Q19" s="147" t="e">
        <f t="shared" si="11"/>
        <v>#REF!</v>
      </c>
      <c r="R19" s="148" t="e">
        <f t="shared" si="12"/>
        <v>#REF!</v>
      </c>
      <c r="S19" s="149" t="e">
        <f t="shared" si="4"/>
        <v>#REF!</v>
      </c>
      <c r="T19" s="149" t="e">
        <f t="shared" si="4"/>
        <v>#REF!</v>
      </c>
      <c r="U19" s="149" t="e">
        <f t="shared" si="5"/>
        <v>#REF!</v>
      </c>
      <c r="V19" s="148"/>
      <c r="W19" s="148" t="e">
        <f t="shared" si="13"/>
        <v>#REF!</v>
      </c>
      <c r="X19" s="148" t="e">
        <f t="shared" si="6"/>
        <v>#REF!</v>
      </c>
      <c r="Y19" s="148" t="e">
        <f t="shared" si="6"/>
        <v>#REF!</v>
      </c>
      <c r="Z19" s="148"/>
      <c r="AA19" s="148"/>
      <c r="AB19" s="72" t="s">
        <v>135</v>
      </c>
      <c r="AC19" s="72">
        <v>10</v>
      </c>
      <c r="AD19" s="148">
        <f t="shared" si="14"/>
        <v>2</v>
      </c>
      <c r="AE19" s="150" t="e">
        <f t="shared" si="15"/>
        <v>#REF!</v>
      </c>
      <c r="AF19" s="154">
        <v>6</v>
      </c>
      <c r="AG19" s="152">
        <f t="shared" si="16"/>
        <v>12</v>
      </c>
      <c r="AH19" s="149">
        <f t="shared" si="17"/>
        <v>6</v>
      </c>
      <c r="AI19" s="149">
        <f t="shared" si="18"/>
        <v>2</v>
      </c>
      <c r="AJ19" s="152">
        <v>2</v>
      </c>
      <c r="AK19" s="149"/>
      <c r="AL19" s="148"/>
      <c r="AM19" s="148"/>
      <c r="AN19" s="148"/>
      <c r="AO19" s="148"/>
      <c r="AP19" s="148"/>
      <c r="AQ19" s="148"/>
      <c r="AR19" s="72"/>
      <c r="AS19" s="72"/>
      <c r="AT19" s="148"/>
      <c r="AU19" s="150"/>
      <c r="AV19" s="154"/>
    </row>
    <row r="20" spans="1:48" ht="17.25" thickTop="1" thickBot="1" x14ac:dyDescent="0.3">
      <c r="A20" s="138" t="s">
        <v>121</v>
      </c>
      <c r="B20" s="153" t="s">
        <v>136</v>
      </c>
      <c r="C20" s="140" t="e">
        <f>'[1]Pop-Alvo-CNMenAfricVac por AS'!D26</f>
        <v>#REF!</v>
      </c>
      <c r="D20" s="141">
        <v>0.4192008285494091</v>
      </c>
      <c r="E20" s="141">
        <v>0.36347791866103379</v>
      </c>
      <c r="F20" s="141">
        <v>0.21732125278955725</v>
      </c>
      <c r="G20" s="142" t="e">
        <f t="shared" si="0"/>
        <v>#REF!</v>
      </c>
      <c r="H20" s="142" t="e">
        <f t="shared" si="1"/>
        <v>#REF!</v>
      </c>
      <c r="I20" s="142" t="e">
        <f t="shared" si="2"/>
        <v>#REF!</v>
      </c>
      <c r="J20" s="143" t="e">
        <f t="shared" si="7"/>
        <v>#REF!</v>
      </c>
      <c r="K20" s="143" t="e">
        <f t="shared" si="7"/>
        <v>#REF!</v>
      </c>
      <c r="L20" s="144" t="e">
        <f t="shared" si="7"/>
        <v>#REF!</v>
      </c>
      <c r="M20" s="145" t="e">
        <f t="shared" si="3"/>
        <v>#REF!</v>
      </c>
      <c r="N20" s="146" t="e">
        <f t="shared" si="8"/>
        <v>#REF!</v>
      </c>
      <c r="O20" s="146" t="e">
        <f t="shared" si="9"/>
        <v>#REF!</v>
      </c>
      <c r="P20" s="146" t="e">
        <f t="shared" si="10"/>
        <v>#REF!</v>
      </c>
      <c r="Q20" s="147" t="e">
        <f t="shared" si="11"/>
        <v>#REF!</v>
      </c>
      <c r="R20" s="148" t="e">
        <f t="shared" si="12"/>
        <v>#REF!</v>
      </c>
      <c r="S20" s="149" t="e">
        <f t="shared" si="4"/>
        <v>#REF!</v>
      </c>
      <c r="T20" s="149" t="e">
        <f t="shared" si="4"/>
        <v>#REF!</v>
      </c>
      <c r="U20" s="149" t="e">
        <f t="shared" si="5"/>
        <v>#REF!</v>
      </c>
      <c r="V20" s="148"/>
      <c r="W20" s="148" t="e">
        <f t="shared" si="13"/>
        <v>#REF!</v>
      </c>
      <c r="X20" s="148" t="e">
        <f t="shared" si="6"/>
        <v>#REF!</v>
      </c>
      <c r="Y20" s="148" t="e">
        <f t="shared" si="6"/>
        <v>#REF!</v>
      </c>
      <c r="Z20" s="148"/>
      <c r="AA20" s="148"/>
      <c r="AB20" s="72" t="s">
        <v>137</v>
      </c>
      <c r="AC20" s="72">
        <v>6</v>
      </c>
      <c r="AD20" s="148">
        <f t="shared" si="14"/>
        <v>1</v>
      </c>
      <c r="AE20" s="150" t="e">
        <f t="shared" si="15"/>
        <v>#REF!</v>
      </c>
      <c r="AF20" s="154">
        <v>2</v>
      </c>
      <c r="AG20" s="152">
        <f t="shared" si="16"/>
        <v>4</v>
      </c>
      <c r="AH20" s="149">
        <f t="shared" si="17"/>
        <v>2</v>
      </c>
      <c r="AI20" s="149">
        <f t="shared" si="18"/>
        <v>0.66666666666666663</v>
      </c>
      <c r="AJ20" s="152">
        <v>1</v>
      </c>
      <c r="AK20" s="149"/>
      <c r="AL20" s="148"/>
      <c r="AM20" s="148"/>
      <c r="AN20" s="148"/>
      <c r="AO20" s="148"/>
      <c r="AP20" s="148"/>
      <c r="AQ20" s="148"/>
      <c r="AR20" s="72"/>
      <c r="AS20" s="72"/>
      <c r="AT20" s="148"/>
      <c r="AU20" s="150"/>
      <c r="AV20" s="154"/>
    </row>
    <row r="21" spans="1:48" ht="17.25" thickTop="1" thickBot="1" x14ac:dyDescent="0.3">
      <c r="A21" s="138" t="s">
        <v>121</v>
      </c>
      <c r="B21" s="153" t="s">
        <v>138</v>
      </c>
      <c r="C21" s="140" t="e">
        <f>'[1]Pop-Alvo-CNMenAfricVac por AS'!D27</f>
        <v>#REF!</v>
      </c>
      <c r="D21" s="141">
        <v>0.12658514492753617</v>
      </c>
      <c r="E21" s="141">
        <v>0.37375452898550704</v>
      </c>
      <c r="F21" s="141">
        <v>0.49966032608695643</v>
      </c>
      <c r="G21" s="142" t="e">
        <f t="shared" si="0"/>
        <v>#REF!</v>
      </c>
      <c r="H21" s="142" t="e">
        <f t="shared" si="1"/>
        <v>#REF!</v>
      </c>
      <c r="I21" s="142" t="e">
        <f t="shared" si="2"/>
        <v>#REF!</v>
      </c>
      <c r="J21" s="143" t="e">
        <f t="shared" si="7"/>
        <v>#REF!</v>
      </c>
      <c r="K21" s="143" t="e">
        <f t="shared" si="7"/>
        <v>#REF!</v>
      </c>
      <c r="L21" s="144" t="e">
        <f t="shared" si="7"/>
        <v>#REF!</v>
      </c>
      <c r="M21" s="145" t="e">
        <f t="shared" si="3"/>
        <v>#REF!</v>
      </c>
      <c r="N21" s="146" t="e">
        <f t="shared" si="8"/>
        <v>#REF!</v>
      </c>
      <c r="O21" s="146" t="e">
        <f t="shared" si="9"/>
        <v>#REF!</v>
      </c>
      <c r="P21" s="146" t="e">
        <f t="shared" si="10"/>
        <v>#REF!</v>
      </c>
      <c r="Q21" s="147" t="e">
        <f t="shared" si="11"/>
        <v>#REF!</v>
      </c>
      <c r="R21" s="148" t="e">
        <f t="shared" si="12"/>
        <v>#REF!</v>
      </c>
      <c r="S21" s="149" t="e">
        <f t="shared" si="4"/>
        <v>#REF!</v>
      </c>
      <c r="T21" s="149" t="e">
        <f t="shared" si="4"/>
        <v>#REF!</v>
      </c>
      <c r="U21" s="149" t="e">
        <f t="shared" si="5"/>
        <v>#REF!</v>
      </c>
      <c r="V21" s="148"/>
      <c r="W21" s="148" t="e">
        <f t="shared" si="13"/>
        <v>#REF!</v>
      </c>
      <c r="X21" s="148" t="e">
        <f t="shared" si="6"/>
        <v>#REF!</v>
      </c>
      <c r="Y21" s="148" t="e">
        <f t="shared" si="6"/>
        <v>#REF!</v>
      </c>
      <c r="Z21" s="148"/>
      <c r="AA21" s="148"/>
      <c r="AB21" s="72" t="s">
        <v>139</v>
      </c>
      <c r="AC21" s="72">
        <v>14</v>
      </c>
      <c r="AD21" s="148">
        <f t="shared" si="14"/>
        <v>3</v>
      </c>
      <c r="AE21" s="150" t="e">
        <f t="shared" si="15"/>
        <v>#REF!</v>
      </c>
      <c r="AF21" s="154">
        <v>4</v>
      </c>
      <c r="AG21" s="152">
        <f t="shared" si="16"/>
        <v>8</v>
      </c>
      <c r="AH21" s="149">
        <f t="shared" si="17"/>
        <v>4</v>
      </c>
      <c r="AI21" s="149">
        <f t="shared" si="18"/>
        <v>1.3333333333333333</v>
      </c>
      <c r="AJ21" s="152">
        <v>1</v>
      </c>
      <c r="AK21" s="149"/>
      <c r="AL21" s="148"/>
      <c r="AM21" s="148"/>
      <c r="AN21" s="148"/>
      <c r="AO21" s="148"/>
      <c r="AP21" s="148"/>
      <c r="AQ21" s="148"/>
      <c r="AR21" s="72"/>
      <c r="AS21" s="72"/>
      <c r="AT21" s="148"/>
      <c r="AU21" s="150"/>
      <c r="AV21" s="154"/>
    </row>
    <row r="22" spans="1:48" ht="17.25" thickTop="1" thickBot="1" x14ac:dyDescent="0.3">
      <c r="A22" s="138" t="s">
        <v>121</v>
      </c>
      <c r="B22" s="153" t="s">
        <v>140</v>
      </c>
      <c r="C22" s="140" t="e">
        <f>'[1]Pop-Alvo-CNMenAfricVac por AS'!D28</f>
        <v>#REF!</v>
      </c>
      <c r="D22" s="141">
        <v>0.16857926271961005</v>
      </c>
      <c r="E22" s="141">
        <v>0.56413120747435774</v>
      </c>
      <c r="F22" s="141">
        <v>0.26728952980603227</v>
      </c>
      <c r="G22" s="142" t="e">
        <f t="shared" si="0"/>
        <v>#REF!</v>
      </c>
      <c r="H22" s="142" t="e">
        <f t="shared" si="1"/>
        <v>#REF!</v>
      </c>
      <c r="I22" s="142" t="e">
        <f t="shared" si="2"/>
        <v>#REF!</v>
      </c>
      <c r="J22" s="143" t="e">
        <f t="shared" si="7"/>
        <v>#REF!</v>
      </c>
      <c r="K22" s="143" t="e">
        <f t="shared" si="7"/>
        <v>#REF!</v>
      </c>
      <c r="L22" s="144" t="e">
        <f t="shared" si="7"/>
        <v>#REF!</v>
      </c>
      <c r="M22" s="145" t="e">
        <f t="shared" si="3"/>
        <v>#REF!</v>
      </c>
      <c r="N22" s="146" t="e">
        <f t="shared" si="8"/>
        <v>#REF!</v>
      </c>
      <c r="O22" s="146" t="e">
        <f t="shared" si="9"/>
        <v>#REF!</v>
      </c>
      <c r="P22" s="146" t="e">
        <f t="shared" si="10"/>
        <v>#REF!</v>
      </c>
      <c r="Q22" s="147" t="e">
        <f t="shared" si="11"/>
        <v>#REF!</v>
      </c>
      <c r="R22" s="148" t="e">
        <f t="shared" si="12"/>
        <v>#REF!</v>
      </c>
      <c r="S22" s="149" t="e">
        <f t="shared" si="4"/>
        <v>#REF!</v>
      </c>
      <c r="T22" s="149" t="e">
        <f t="shared" si="4"/>
        <v>#REF!</v>
      </c>
      <c r="U22" s="149" t="e">
        <f t="shared" si="5"/>
        <v>#REF!</v>
      </c>
      <c r="V22" s="148"/>
      <c r="W22" s="148" t="e">
        <f t="shared" si="13"/>
        <v>#REF!</v>
      </c>
      <c r="X22" s="148" t="e">
        <f t="shared" si="6"/>
        <v>#REF!</v>
      </c>
      <c r="Y22" s="148" t="e">
        <f t="shared" si="6"/>
        <v>#REF!</v>
      </c>
      <c r="Z22" s="148"/>
      <c r="AA22" s="148"/>
      <c r="AB22" s="72" t="s">
        <v>141</v>
      </c>
      <c r="AC22" s="72">
        <v>8</v>
      </c>
      <c r="AD22" s="148">
        <f t="shared" si="14"/>
        <v>2</v>
      </c>
      <c r="AE22" s="150" t="e">
        <f t="shared" si="15"/>
        <v>#REF!</v>
      </c>
      <c r="AF22" s="154">
        <v>3</v>
      </c>
      <c r="AG22" s="152">
        <f t="shared" si="16"/>
        <v>6</v>
      </c>
      <c r="AH22" s="149">
        <f t="shared" si="17"/>
        <v>3</v>
      </c>
      <c r="AI22" s="149">
        <f t="shared" si="18"/>
        <v>1</v>
      </c>
      <c r="AJ22" s="152">
        <v>1</v>
      </c>
      <c r="AK22" s="149"/>
      <c r="AL22" s="148"/>
      <c r="AM22" s="148"/>
      <c r="AN22" s="148"/>
      <c r="AO22" s="148"/>
      <c r="AP22" s="148"/>
      <c r="AQ22" s="148"/>
      <c r="AR22" s="72"/>
      <c r="AS22" s="72"/>
      <c r="AT22" s="148"/>
      <c r="AU22" s="150"/>
      <c r="AV22" s="154"/>
    </row>
    <row r="23" spans="1:48" ht="17.25" thickTop="1" thickBot="1" x14ac:dyDescent="0.3">
      <c r="A23" s="138" t="s">
        <v>121</v>
      </c>
      <c r="B23" s="153" t="s">
        <v>142</v>
      </c>
      <c r="C23" s="140" t="e">
        <f>'[1]Pop-Alvo-CNMenAfricVac por AS'!D29</f>
        <v>#REF!</v>
      </c>
      <c r="D23" s="141">
        <v>0.22585412719005651</v>
      </c>
      <c r="E23" s="141">
        <v>0.77414587280994296</v>
      </c>
      <c r="F23" s="141">
        <v>0</v>
      </c>
      <c r="G23" s="142" t="e">
        <f t="shared" si="0"/>
        <v>#REF!</v>
      </c>
      <c r="H23" s="142" t="e">
        <f t="shared" si="1"/>
        <v>#REF!</v>
      </c>
      <c r="I23" s="142" t="e">
        <f t="shared" si="2"/>
        <v>#REF!</v>
      </c>
      <c r="J23" s="143" t="e">
        <f t="shared" si="7"/>
        <v>#REF!</v>
      </c>
      <c r="K23" s="143" t="e">
        <f t="shared" si="7"/>
        <v>#REF!</v>
      </c>
      <c r="L23" s="144" t="e">
        <f t="shared" si="7"/>
        <v>#REF!</v>
      </c>
      <c r="M23" s="145" t="e">
        <f t="shared" si="3"/>
        <v>#REF!</v>
      </c>
      <c r="N23" s="146" t="e">
        <f t="shared" si="8"/>
        <v>#REF!</v>
      </c>
      <c r="O23" s="146" t="e">
        <f t="shared" si="9"/>
        <v>#REF!</v>
      </c>
      <c r="P23" s="146" t="e">
        <f t="shared" si="10"/>
        <v>#REF!</v>
      </c>
      <c r="Q23" s="147" t="e">
        <f t="shared" si="11"/>
        <v>#REF!</v>
      </c>
      <c r="R23" s="148" t="e">
        <f t="shared" si="12"/>
        <v>#REF!</v>
      </c>
      <c r="S23" s="149" t="e">
        <f t="shared" si="4"/>
        <v>#REF!</v>
      </c>
      <c r="T23" s="149" t="e">
        <f t="shared" si="4"/>
        <v>#REF!</v>
      </c>
      <c r="U23" s="149" t="e">
        <f t="shared" si="5"/>
        <v>#REF!</v>
      </c>
      <c r="V23" s="148"/>
      <c r="W23" s="148" t="e">
        <f t="shared" si="13"/>
        <v>#REF!</v>
      </c>
      <c r="X23" s="148" t="e">
        <f t="shared" si="6"/>
        <v>#REF!</v>
      </c>
      <c r="Y23" s="148" t="e">
        <f t="shared" si="6"/>
        <v>#REF!</v>
      </c>
      <c r="Z23" s="148"/>
      <c r="AA23" s="148"/>
      <c r="AB23" s="148"/>
      <c r="AC23" s="148"/>
      <c r="AD23" s="148">
        <f>SUM(AD12:AD22)</f>
        <v>25</v>
      </c>
      <c r="AE23" s="150" t="e">
        <f t="shared" si="15"/>
        <v>#REF!</v>
      </c>
      <c r="AF23" s="154">
        <v>6</v>
      </c>
      <c r="AG23" s="152">
        <f t="shared" si="16"/>
        <v>12</v>
      </c>
      <c r="AH23" s="149">
        <f t="shared" si="17"/>
        <v>6</v>
      </c>
      <c r="AI23" s="149">
        <f t="shared" si="18"/>
        <v>2</v>
      </c>
      <c r="AJ23" s="152">
        <v>2</v>
      </c>
      <c r="AK23" s="149"/>
      <c r="AL23" s="148"/>
      <c r="AM23" s="148"/>
      <c r="AN23" s="148"/>
      <c r="AO23" s="148"/>
      <c r="AP23" s="148"/>
      <c r="AQ23" s="148"/>
      <c r="AR23" s="148"/>
      <c r="AS23" s="148"/>
      <c r="AT23" s="148"/>
      <c r="AU23" s="150"/>
      <c r="AV23" s="154"/>
    </row>
    <row r="24" spans="1:48" ht="17.25" thickTop="1" thickBot="1" x14ac:dyDescent="0.3">
      <c r="A24" s="138" t="s">
        <v>121</v>
      </c>
      <c r="B24" s="153" t="s">
        <v>143</v>
      </c>
      <c r="C24" s="140" t="e">
        <f>'[1]Pop-Alvo-CNMenAfricVac por AS'!D30</f>
        <v>#REF!</v>
      </c>
      <c r="D24" s="141">
        <v>0.71548074008015128</v>
      </c>
      <c r="E24" s="141">
        <v>0.26480790976704888</v>
      </c>
      <c r="F24" s="141">
        <v>1.9711350152800313E-2</v>
      </c>
      <c r="G24" s="142" t="e">
        <f t="shared" si="0"/>
        <v>#REF!</v>
      </c>
      <c r="H24" s="142" t="e">
        <f t="shared" si="1"/>
        <v>#REF!</v>
      </c>
      <c r="I24" s="142" t="e">
        <f t="shared" si="2"/>
        <v>#REF!</v>
      </c>
      <c r="J24" s="143" t="e">
        <f t="shared" si="7"/>
        <v>#REF!</v>
      </c>
      <c r="K24" s="143" t="e">
        <f t="shared" si="7"/>
        <v>#REF!</v>
      </c>
      <c r="L24" s="144" t="e">
        <f t="shared" si="7"/>
        <v>#REF!</v>
      </c>
      <c r="M24" s="145" t="e">
        <f t="shared" si="3"/>
        <v>#REF!</v>
      </c>
      <c r="N24" s="146" t="e">
        <f t="shared" si="8"/>
        <v>#REF!</v>
      </c>
      <c r="O24" s="146" t="e">
        <f t="shared" si="9"/>
        <v>#REF!</v>
      </c>
      <c r="P24" s="146" t="e">
        <f t="shared" si="10"/>
        <v>#REF!</v>
      </c>
      <c r="Q24" s="147" t="e">
        <f t="shared" si="11"/>
        <v>#REF!</v>
      </c>
      <c r="R24" s="148" t="e">
        <f t="shared" si="12"/>
        <v>#REF!</v>
      </c>
      <c r="S24" s="149" t="e">
        <f t="shared" si="4"/>
        <v>#REF!</v>
      </c>
      <c r="T24" s="149" t="e">
        <f t="shared" si="4"/>
        <v>#REF!</v>
      </c>
      <c r="U24" s="149" t="e">
        <f t="shared" si="5"/>
        <v>#REF!</v>
      </c>
      <c r="V24" s="148"/>
      <c r="W24" s="148" t="e">
        <f t="shared" si="13"/>
        <v>#REF!</v>
      </c>
      <c r="X24" s="148" t="e">
        <f t="shared" si="6"/>
        <v>#REF!</v>
      </c>
      <c r="Y24" s="148" t="e">
        <f t="shared" si="6"/>
        <v>#REF!</v>
      </c>
      <c r="Z24" s="148"/>
      <c r="AA24" s="148"/>
      <c r="AB24" s="148"/>
      <c r="AC24" s="148"/>
      <c r="AD24" s="148"/>
      <c r="AE24" s="150" t="e">
        <f t="shared" si="15"/>
        <v>#REF!</v>
      </c>
      <c r="AF24" s="154">
        <v>2</v>
      </c>
      <c r="AG24" s="152">
        <f t="shared" si="16"/>
        <v>4</v>
      </c>
      <c r="AH24" s="149">
        <f t="shared" si="17"/>
        <v>2</v>
      </c>
      <c r="AI24" s="149">
        <f t="shared" si="18"/>
        <v>0.66666666666666663</v>
      </c>
      <c r="AJ24" s="152">
        <v>1</v>
      </c>
      <c r="AK24" s="149"/>
      <c r="AL24" s="148"/>
      <c r="AM24" s="148"/>
      <c r="AN24" s="148"/>
      <c r="AO24" s="148"/>
      <c r="AP24" s="148"/>
      <c r="AQ24" s="148"/>
      <c r="AR24" s="148"/>
      <c r="AS24" s="148"/>
      <c r="AT24" s="148"/>
      <c r="AU24" s="150"/>
      <c r="AV24" s="154"/>
    </row>
    <row r="25" spans="1:48" ht="17.25" thickTop="1" thickBot="1" x14ac:dyDescent="0.3">
      <c r="A25" s="138" t="s">
        <v>121</v>
      </c>
      <c r="B25" s="153" t="s">
        <v>144</v>
      </c>
      <c r="C25" s="140" t="e">
        <f>'[1]Pop-Alvo-CNMenAfricVac por AS'!D31</f>
        <v>#REF!</v>
      </c>
      <c r="D25" s="141">
        <v>0.10540909191864338</v>
      </c>
      <c r="E25" s="141">
        <v>0.22966924483173493</v>
      </c>
      <c r="F25" s="141">
        <v>0.66492166324962132</v>
      </c>
      <c r="G25" s="142" t="e">
        <f t="shared" si="0"/>
        <v>#REF!</v>
      </c>
      <c r="H25" s="142" t="e">
        <f t="shared" si="1"/>
        <v>#REF!</v>
      </c>
      <c r="I25" s="142" t="e">
        <f t="shared" si="2"/>
        <v>#REF!</v>
      </c>
      <c r="J25" s="143" t="e">
        <f t="shared" si="7"/>
        <v>#REF!</v>
      </c>
      <c r="K25" s="143" t="e">
        <f t="shared" si="7"/>
        <v>#REF!</v>
      </c>
      <c r="L25" s="144" t="e">
        <f t="shared" si="7"/>
        <v>#REF!</v>
      </c>
      <c r="M25" s="145" t="e">
        <f t="shared" si="3"/>
        <v>#REF!</v>
      </c>
      <c r="N25" s="146" t="e">
        <f t="shared" si="8"/>
        <v>#REF!</v>
      </c>
      <c r="O25" s="146" t="e">
        <f t="shared" si="9"/>
        <v>#REF!</v>
      </c>
      <c r="P25" s="146" t="e">
        <f t="shared" si="10"/>
        <v>#REF!</v>
      </c>
      <c r="Q25" s="147" t="e">
        <f t="shared" si="11"/>
        <v>#REF!</v>
      </c>
      <c r="R25" s="148" t="e">
        <f t="shared" si="12"/>
        <v>#REF!</v>
      </c>
      <c r="S25" s="149" t="e">
        <f t="shared" si="4"/>
        <v>#REF!</v>
      </c>
      <c r="T25" s="149" t="e">
        <f t="shared" si="4"/>
        <v>#REF!</v>
      </c>
      <c r="U25" s="149" t="e">
        <f t="shared" si="5"/>
        <v>#REF!</v>
      </c>
      <c r="V25" s="148"/>
      <c r="W25" s="148" t="e">
        <f t="shared" si="13"/>
        <v>#REF!</v>
      </c>
      <c r="X25" s="148" t="e">
        <f t="shared" si="6"/>
        <v>#REF!</v>
      </c>
      <c r="Y25" s="148" t="e">
        <f t="shared" si="6"/>
        <v>#REF!</v>
      </c>
      <c r="Z25" s="148"/>
      <c r="AA25" s="148"/>
      <c r="AB25" s="148"/>
      <c r="AC25" s="148"/>
      <c r="AD25" s="148"/>
      <c r="AE25" s="150" t="e">
        <f t="shared" si="15"/>
        <v>#REF!</v>
      </c>
      <c r="AF25" s="154">
        <v>8</v>
      </c>
      <c r="AG25" s="152">
        <f t="shared" si="16"/>
        <v>16</v>
      </c>
      <c r="AH25" s="149">
        <f t="shared" si="17"/>
        <v>8</v>
      </c>
      <c r="AI25" s="149">
        <f t="shared" si="18"/>
        <v>2.6666666666666665</v>
      </c>
      <c r="AJ25" s="152">
        <v>3</v>
      </c>
      <c r="AK25" s="149"/>
      <c r="AL25" s="148"/>
      <c r="AM25" s="148"/>
      <c r="AN25" s="148"/>
      <c r="AO25" s="148"/>
      <c r="AP25" s="148"/>
      <c r="AQ25" s="148"/>
      <c r="AR25" s="148"/>
      <c r="AS25" s="148"/>
      <c r="AT25" s="148"/>
      <c r="AU25" s="150"/>
      <c r="AV25" s="154"/>
    </row>
    <row r="26" spans="1:48" ht="17.25" thickTop="1" thickBot="1" x14ac:dyDescent="0.3">
      <c r="A26" s="138" t="s">
        <v>145</v>
      </c>
      <c r="B26" s="155" t="s">
        <v>146</v>
      </c>
      <c r="C26" s="140" t="e">
        <f>'[1]Pop-Alvo-CNMenAfricVac por AS'!D32</f>
        <v>#REF!</v>
      </c>
      <c r="D26" s="141">
        <v>0.71941277244777024</v>
      </c>
      <c r="E26" s="141">
        <v>0.25460247049339968</v>
      </c>
      <c r="F26" s="141">
        <v>2.5984757058829921E-2</v>
      </c>
      <c r="G26" s="142" t="e">
        <f t="shared" si="0"/>
        <v>#REF!</v>
      </c>
      <c r="H26" s="142" t="e">
        <f t="shared" si="1"/>
        <v>#REF!</v>
      </c>
      <c r="I26" s="142" t="e">
        <f t="shared" si="2"/>
        <v>#REF!</v>
      </c>
      <c r="J26" s="143" t="e">
        <f t="shared" si="7"/>
        <v>#REF!</v>
      </c>
      <c r="K26" s="143" t="e">
        <f t="shared" si="7"/>
        <v>#REF!</v>
      </c>
      <c r="L26" s="144" t="e">
        <f t="shared" si="7"/>
        <v>#REF!</v>
      </c>
      <c r="M26" s="145" t="e">
        <f t="shared" si="3"/>
        <v>#REF!</v>
      </c>
      <c r="N26" s="146" t="e">
        <f t="shared" si="8"/>
        <v>#REF!</v>
      </c>
      <c r="O26" s="146" t="e">
        <f t="shared" si="9"/>
        <v>#REF!</v>
      </c>
      <c r="P26" s="146" t="e">
        <f t="shared" si="10"/>
        <v>#REF!</v>
      </c>
      <c r="Q26" s="147" t="e">
        <f t="shared" si="11"/>
        <v>#REF!</v>
      </c>
      <c r="R26" s="148" t="e">
        <f t="shared" si="12"/>
        <v>#REF!</v>
      </c>
      <c r="S26" s="149" t="e">
        <f t="shared" si="4"/>
        <v>#REF!</v>
      </c>
      <c r="T26" s="149" t="e">
        <f t="shared" si="4"/>
        <v>#REF!</v>
      </c>
      <c r="U26" s="149" t="e">
        <f t="shared" si="5"/>
        <v>#REF!</v>
      </c>
      <c r="V26" s="148"/>
      <c r="W26" s="148" t="e">
        <f t="shared" si="13"/>
        <v>#REF!</v>
      </c>
      <c r="X26" s="148" t="e">
        <f t="shared" si="6"/>
        <v>#REF!</v>
      </c>
      <c r="Y26" s="148" t="e">
        <f t="shared" si="6"/>
        <v>#REF!</v>
      </c>
      <c r="Z26" s="148"/>
      <c r="AA26" s="148"/>
      <c r="AB26" s="148"/>
      <c r="AC26" s="148"/>
      <c r="AD26" s="148"/>
      <c r="AE26" s="150" t="e">
        <f t="shared" si="15"/>
        <v>#REF!</v>
      </c>
      <c r="AF26" s="154">
        <v>2</v>
      </c>
      <c r="AG26" s="156">
        <f t="shared" si="16"/>
        <v>4</v>
      </c>
      <c r="AH26" s="149">
        <f t="shared" si="17"/>
        <v>2</v>
      </c>
      <c r="AI26" s="149">
        <f t="shared" si="18"/>
        <v>0.66666666666666663</v>
      </c>
      <c r="AJ26" s="156">
        <v>1</v>
      </c>
      <c r="AK26" s="149">
        <v>1</v>
      </c>
      <c r="AL26" s="148"/>
      <c r="AM26" s="148"/>
      <c r="AN26" s="148"/>
      <c r="AO26" s="148"/>
      <c r="AP26" s="148"/>
      <c r="AQ26" s="148"/>
      <c r="AR26" s="148"/>
      <c r="AS26" s="148"/>
      <c r="AT26" s="148"/>
      <c r="AU26" s="150"/>
      <c r="AV26" s="154"/>
    </row>
    <row r="27" spans="1:48" ht="17.25" thickTop="1" thickBot="1" x14ac:dyDescent="0.3">
      <c r="A27" s="138" t="s">
        <v>145</v>
      </c>
      <c r="B27" s="153" t="s">
        <v>147</v>
      </c>
      <c r="C27" s="140" t="e">
        <f>'[1]Pop-Alvo-CNMenAfricVac por AS'!D33</f>
        <v>#REF!</v>
      </c>
      <c r="D27" s="141">
        <v>0.2027012789445688</v>
      </c>
      <c r="E27" s="141">
        <v>0.68782908346160465</v>
      </c>
      <c r="F27" s="141">
        <v>0.10946963759382654</v>
      </c>
      <c r="G27" s="142" t="e">
        <f t="shared" si="0"/>
        <v>#REF!</v>
      </c>
      <c r="H27" s="142" t="e">
        <f t="shared" si="1"/>
        <v>#REF!</v>
      </c>
      <c r="I27" s="142" t="e">
        <f t="shared" si="2"/>
        <v>#REF!</v>
      </c>
      <c r="J27" s="143" t="e">
        <f t="shared" si="7"/>
        <v>#REF!</v>
      </c>
      <c r="K27" s="143" t="e">
        <f t="shared" si="7"/>
        <v>#REF!</v>
      </c>
      <c r="L27" s="144" t="e">
        <f t="shared" si="7"/>
        <v>#REF!</v>
      </c>
      <c r="M27" s="145" t="e">
        <f t="shared" si="3"/>
        <v>#REF!</v>
      </c>
      <c r="N27" s="146" t="e">
        <f t="shared" si="8"/>
        <v>#REF!</v>
      </c>
      <c r="O27" s="146" t="e">
        <f t="shared" si="9"/>
        <v>#REF!</v>
      </c>
      <c r="P27" s="146" t="e">
        <f t="shared" si="10"/>
        <v>#REF!</v>
      </c>
      <c r="Q27" s="147" t="e">
        <f t="shared" si="11"/>
        <v>#REF!</v>
      </c>
      <c r="R27" s="148" t="e">
        <f t="shared" si="12"/>
        <v>#REF!</v>
      </c>
      <c r="S27" s="149" t="e">
        <f t="shared" si="4"/>
        <v>#REF!</v>
      </c>
      <c r="T27" s="149" t="e">
        <f t="shared" si="4"/>
        <v>#REF!</v>
      </c>
      <c r="U27" s="149" t="e">
        <f t="shared" si="5"/>
        <v>#REF!</v>
      </c>
      <c r="V27" s="148"/>
      <c r="W27" s="148" t="e">
        <f t="shared" si="13"/>
        <v>#REF!</v>
      </c>
      <c r="X27" s="148" t="e">
        <f t="shared" si="6"/>
        <v>#REF!</v>
      </c>
      <c r="Y27" s="148" t="e">
        <f t="shared" si="6"/>
        <v>#REF!</v>
      </c>
      <c r="Z27" s="148"/>
      <c r="AA27" s="148"/>
      <c r="AB27" s="148"/>
      <c r="AC27" s="148"/>
      <c r="AD27" s="148"/>
      <c r="AE27" s="150" t="e">
        <f t="shared" si="15"/>
        <v>#REF!</v>
      </c>
      <c r="AF27" s="154">
        <v>1</v>
      </c>
      <c r="AG27" s="156">
        <f t="shared" si="16"/>
        <v>2</v>
      </c>
      <c r="AH27" s="149">
        <f t="shared" si="17"/>
        <v>1</v>
      </c>
      <c r="AI27" s="149">
        <f t="shared" si="18"/>
        <v>0.33333333333333331</v>
      </c>
      <c r="AJ27" s="156">
        <v>1</v>
      </c>
      <c r="AK27" s="149"/>
      <c r="AL27" s="148"/>
      <c r="AM27" s="148"/>
      <c r="AN27" s="148"/>
      <c r="AO27" s="148"/>
      <c r="AP27" s="148"/>
      <c r="AQ27" s="148"/>
      <c r="AR27" s="148"/>
      <c r="AS27" s="148"/>
      <c r="AT27" s="148"/>
      <c r="AU27" s="150"/>
      <c r="AV27" s="154"/>
    </row>
    <row r="28" spans="1:48" ht="17.25" thickTop="1" thickBot="1" x14ac:dyDescent="0.3">
      <c r="A28" s="138" t="s">
        <v>145</v>
      </c>
      <c r="B28" s="153" t="s">
        <v>148</v>
      </c>
      <c r="C28" s="140" t="e">
        <f>'[1]Pop-Alvo-CNMenAfricVac por AS'!D34</f>
        <v>#REF!</v>
      </c>
      <c r="D28" s="141">
        <v>0.62192291119358378</v>
      </c>
      <c r="E28" s="141">
        <v>0.24046814839525735</v>
      </c>
      <c r="F28" s="141">
        <v>0.13760894041115881</v>
      </c>
      <c r="G28" s="142" t="e">
        <f t="shared" si="0"/>
        <v>#REF!</v>
      </c>
      <c r="H28" s="142" t="e">
        <f t="shared" si="1"/>
        <v>#REF!</v>
      </c>
      <c r="I28" s="142" t="e">
        <f t="shared" si="2"/>
        <v>#REF!</v>
      </c>
      <c r="J28" s="143" t="e">
        <f t="shared" si="7"/>
        <v>#REF!</v>
      </c>
      <c r="K28" s="143" t="e">
        <f t="shared" si="7"/>
        <v>#REF!</v>
      </c>
      <c r="L28" s="144" t="e">
        <f t="shared" si="7"/>
        <v>#REF!</v>
      </c>
      <c r="M28" s="145" t="e">
        <f t="shared" si="3"/>
        <v>#REF!</v>
      </c>
      <c r="N28" s="146" t="e">
        <f t="shared" si="8"/>
        <v>#REF!</v>
      </c>
      <c r="O28" s="146" t="e">
        <f t="shared" si="9"/>
        <v>#REF!</v>
      </c>
      <c r="P28" s="146" t="e">
        <f t="shared" si="10"/>
        <v>#REF!</v>
      </c>
      <c r="Q28" s="147" t="e">
        <f t="shared" si="11"/>
        <v>#REF!</v>
      </c>
      <c r="R28" s="148" t="e">
        <f t="shared" si="12"/>
        <v>#REF!</v>
      </c>
      <c r="S28" s="149" t="e">
        <f t="shared" si="4"/>
        <v>#REF!</v>
      </c>
      <c r="T28" s="149" t="e">
        <f t="shared" si="4"/>
        <v>#REF!</v>
      </c>
      <c r="U28" s="149" t="e">
        <f t="shared" si="5"/>
        <v>#REF!</v>
      </c>
      <c r="V28" s="148"/>
      <c r="W28" s="148" t="e">
        <f t="shared" si="13"/>
        <v>#REF!</v>
      </c>
      <c r="X28" s="148" t="e">
        <f t="shared" ref="X28:Y43" si="19">ROUND(IF(W28&lt;=15,W28,15),0)</f>
        <v>#REF!</v>
      </c>
      <c r="Y28" s="148" t="e">
        <f t="shared" si="19"/>
        <v>#REF!</v>
      </c>
      <c r="Z28" s="148"/>
      <c r="AA28" s="148"/>
      <c r="AB28" s="148"/>
      <c r="AC28" s="148"/>
      <c r="AD28" s="148"/>
      <c r="AE28" s="150" t="e">
        <f t="shared" si="15"/>
        <v>#REF!</v>
      </c>
      <c r="AF28" s="154">
        <v>1</v>
      </c>
      <c r="AG28" s="156">
        <f t="shared" si="16"/>
        <v>2</v>
      </c>
      <c r="AH28" s="149">
        <f t="shared" si="17"/>
        <v>1</v>
      </c>
      <c r="AI28" s="149">
        <f t="shared" si="18"/>
        <v>0.33333333333333331</v>
      </c>
      <c r="AJ28" s="156">
        <v>1</v>
      </c>
      <c r="AK28" s="149"/>
      <c r="AL28" s="148"/>
      <c r="AM28" s="148"/>
      <c r="AN28" s="148"/>
      <c r="AO28" s="148"/>
      <c r="AP28" s="148"/>
      <c r="AQ28" s="148"/>
      <c r="AR28" s="148"/>
      <c r="AS28" s="148"/>
      <c r="AT28" s="148"/>
      <c r="AU28" s="150"/>
      <c r="AV28" s="154"/>
    </row>
    <row r="29" spans="1:48" ht="17.25" thickTop="1" thickBot="1" x14ac:dyDescent="0.3">
      <c r="A29" s="138" t="s">
        <v>145</v>
      </c>
      <c r="B29" s="153" t="s">
        <v>149</v>
      </c>
      <c r="C29" s="140" t="e">
        <f>'[1]Pop-Alvo-CNMenAfricVac por AS'!D35</f>
        <v>#REF!</v>
      </c>
      <c r="D29" s="141">
        <v>0.44251207729468589</v>
      </c>
      <c r="E29" s="141">
        <v>0.30724637681159417</v>
      </c>
      <c r="F29" s="141">
        <v>0.25024154589371983</v>
      </c>
      <c r="G29" s="142" t="e">
        <f t="shared" si="0"/>
        <v>#REF!</v>
      </c>
      <c r="H29" s="142" t="e">
        <f t="shared" si="1"/>
        <v>#REF!</v>
      </c>
      <c r="I29" s="142" t="e">
        <f t="shared" si="2"/>
        <v>#REF!</v>
      </c>
      <c r="J29" s="143" t="e">
        <f t="shared" si="7"/>
        <v>#REF!</v>
      </c>
      <c r="K29" s="143" t="e">
        <f t="shared" si="7"/>
        <v>#REF!</v>
      </c>
      <c r="L29" s="144" t="e">
        <f t="shared" si="7"/>
        <v>#REF!</v>
      </c>
      <c r="M29" s="145" t="e">
        <f t="shared" si="3"/>
        <v>#REF!</v>
      </c>
      <c r="N29" s="146" t="e">
        <f t="shared" si="8"/>
        <v>#REF!</v>
      </c>
      <c r="O29" s="146" t="e">
        <f t="shared" si="9"/>
        <v>#REF!</v>
      </c>
      <c r="P29" s="146" t="e">
        <f t="shared" si="10"/>
        <v>#REF!</v>
      </c>
      <c r="Q29" s="147" t="e">
        <f t="shared" si="11"/>
        <v>#REF!</v>
      </c>
      <c r="R29" s="148" t="e">
        <f t="shared" si="12"/>
        <v>#REF!</v>
      </c>
      <c r="S29" s="149" t="e">
        <f t="shared" si="4"/>
        <v>#REF!</v>
      </c>
      <c r="T29" s="149" t="e">
        <f t="shared" si="4"/>
        <v>#REF!</v>
      </c>
      <c r="U29" s="149" t="e">
        <f t="shared" si="5"/>
        <v>#REF!</v>
      </c>
      <c r="V29" s="148"/>
      <c r="W29" s="148" t="e">
        <f t="shared" si="13"/>
        <v>#REF!</v>
      </c>
      <c r="X29" s="148" t="e">
        <f t="shared" si="19"/>
        <v>#REF!</v>
      </c>
      <c r="Y29" s="148" t="e">
        <f t="shared" si="19"/>
        <v>#REF!</v>
      </c>
      <c r="Z29" s="148"/>
      <c r="AA29" s="148"/>
      <c r="AB29" s="148"/>
      <c r="AC29" s="148"/>
      <c r="AD29" s="148"/>
      <c r="AE29" s="150" t="e">
        <f t="shared" si="15"/>
        <v>#REF!</v>
      </c>
      <c r="AF29" s="154">
        <v>1</v>
      </c>
      <c r="AG29" s="156">
        <f t="shared" si="16"/>
        <v>2</v>
      </c>
      <c r="AH29" s="149">
        <f t="shared" si="17"/>
        <v>1</v>
      </c>
      <c r="AI29" s="149">
        <f t="shared" si="18"/>
        <v>0.33333333333333331</v>
      </c>
      <c r="AJ29" s="156">
        <v>1</v>
      </c>
      <c r="AK29" s="149"/>
      <c r="AL29" s="148"/>
      <c r="AM29" s="148"/>
      <c r="AN29" s="148"/>
      <c r="AO29" s="148"/>
      <c r="AP29" s="148"/>
      <c r="AQ29" s="148"/>
      <c r="AR29" s="148"/>
      <c r="AS29" s="148"/>
      <c r="AT29" s="148"/>
      <c r="AU29" s="150"/>
      <c r="AV29" s="154"/>
    </row>
    <row r="30" spans="1:48" ht="17.25" thickTop="1" thickBot="1" x14ac:dyDescent="0.3">
      <c r="A30" s="138" t="s">
        <v>145</v>
      </c>
      <c r="B30" s="153" t="s">
        <v>150</v>
      </c>
      <c r="C30" s="140" t="e">
        <f>'[1]Pop-Alvo-CNMenAfricVac por AS'!D36</f>
        <v>#REF!</v>
      </c>
      <c r="D30" s="141">
        <v>0.35189742077779218</v>
      </c>
      <c r="E30" s="141">
        <v>0.28102976112853012</v>
      </c>
      <c r="F30" s="141">
        <v>0.36707281809367742</v>
      </c>
      <c r="G30" s="142" t="e">
        <f t="shared" si="0"/>
        <v>#REF!</v>
      </c>
      <c r="H30" s="142" t="e">
        <f t="shared" si="1"/>
        <v>#REF!</v>
      </c>
      <c r="I30" s="142" t="e">
        <f t="shared" si="2"/>
        <v>#REF!</v>
      </c>
      <c r="J30" s="143" t="e">
        <f t="shared" si="7"/>
        <v>#REF!</v>
      </c>
      <c r="K30" s="143" t="e">
        <f t="shared" si="7"/>
        <v>#REF!</v>
      </c>
      <c r="L30" s="144" t="e">
        <f t="shared" si="7"/>
        <v>#REF!</v>
      </c>
      <c r="M30" s="145" t="e">
        <f t="shared" si="3"/>
        <v>#REF!</v>
      </c>
      <c r="N30" s="146" t="e">
        <f t="shared" si="8"/>
        <v>#REF!</v>
      </c>
      <c r="O30" s="146" t="e">
        <f t="shared" si="9"/>
        <v>#REF!</v>
      </c>
      <c r="P30" s="146" t="e">
        <f t="shared" si="10"/>
        <v>#REF!</v>
      </c>
      <c r="Q30" s="147" t="e">
        <f t="shared" si="11"/>
        <v>#REF!</v>
      </c>
      <c r="R30" s="148" t="e">
        <f t="shared" si="12"/>
        <v>#REF!</v>
      </c>
      <c r="S30" s="149" t="e">
        <f t="shared" si="4"/>
        <v>#REF!</v>
      </c>
      <c r="T30" s="149" t="e">
        <f t="shared" si="4"/>
        <v>#REF!</v>
      </c>
      <c r="U30" s="149" t="e">
        <f t="shared" si="5"/>
        <v>#REF!</v>
      </c>
      <c r="V30" s="148"/>
      <c r="W30" s="148" t="e">
        <f t="shared" si="13"/>
        <v>#REF!</v>
      </c>
      <c r="X30" s="148" t="e">
        <f t="shared" si="19"/>
        <v>#REF!</v>
      </c>
      <c r="Y30" s="148" t="e">
        <f t="shared" si="19"/>
        <v>#REF!</v>
      </c>
      <c r="Z30" s="148"/>
      <c r="AA30" s="148"/>
      <c r="AB30" s="148"/>
      <c r="AC30" s="148"/>
      <c r="AD30" s="148"/>
      <c r="AE30" s="150" t="e">
        <f t="shared" si="15"/>
        <v>#REF!</v>
      </c>
      <c r="AF30" s="154">
        <v>1</v>
      </c>
      <c r="AG30" s="156">
        <f t="shared" si="16"/>
        <v>2</v>
      </c>
      <c r="AH30" s="149">
        <f t="shared" si="17"/>
        <v>1</v>
      </c>
      <c r="AI30" s="149">
        <f t="shared" si="18"/>
        <v>0.33333333333333331</v>
      </c>
      <c r="AJ30" s="156">
        <v>1</v>
      </c>
      <c r="AK30" s="149"/>
      <c r="AL30" s="148"/>
      <c r="AM30" s="148"/>
      <c r="AN30" s="148"/>
      <c r="AO30" s="148"/>
      <c r="AP30" s="148"/>
      <c r="AQ30" s="148"/>
      <c r="AR30" s="148"/>
      <c r="AS30" s="148"/>
      <c r="AT30" s="148"/>
      <c r="AU30" s="150"/>
      <c r="AV30" s="154"/>
    </row>
    <row r="31" spans="1:48" ht="17.25" thickTop="1" thickBot="1" x14ac:dyDescent="0.3">
      <c r="A31" s="138" t="s">
        <v>145</v>
      </c>
      <c r="B31" s="153" t="s">
        <v>151</v>
      </c>
      <c r="C31" s="140" t="e">
        <f>'[1]Pop-Alvo-CNMenAfricVac por AS'!D37</f>
        <v>#REF!</v>
      </c>
      <c r="D31" s="141">
        <v>0.44532947139753803</v>
      </c>
      <c r="E31" s="141">
        <v>0.47067342505430848</v>
      </c>
      <c r="F31" s="141">
        <v>8.3997103548153512E-2</v>
      </c>
      <c r="G31" s="142" t="e">
        <f t="shared" si="0"/>
        <v>#REF!</v>
      </c>
      <c r="H31" s="142" t="e">
        <f t="shared" si="1"/>
        <v>#REF!</v>
      </c>
      <c r="I31" s="142" t="e">
        <f t="shared" si="2"/>
        <v>#REF!</v>
      </c>
      <c r="J31" s="143" t="e">
        <f t="shared" si="7"/>
        <v>#REF!</v>
      </c>
      <c r="K31" s="143" t="e">
        <f t="shared" si="7"/>
        <v>#REF!</v>
      </c>
      <c r="L31" s="144" t="e">
        <f t="shared" si="7"/>
        <v>#REF!</v>
      </c>
      <c r="M31" s="145" t="e">
        <f t="shared" si="3"/>
        <v>#REF!</v>
      </c>
      <c r="N31" s="146" t="e">
        <f t="shared" si="8"/>
        <v>#REF!</v>
      </c>
      <c r="O31" s="146" t="e">
        <f t="shared" si="9"/>
        <v>#REF!</v>
      </c>
      <c r="P31" s="146" t="e">
        <f t="shared" si="10"/>
        <v>#REF!</v>
      </c>
      <c r="Q31" s="147" t="e">
        <f t="shared" si="11"/>
        <v>#REF!</v>
      </c>
      <c r="R31" s="148" t="e">
        <f t="shared" si="12"/>
        <v>#REF!</v>
      </c>
      <c r="S31" s="149" t="e">
        <f t="shared" si="4"/>
        <v>#REF!</v>
      </c>
      <c r="T31" s="149" t="e">
        <f t="shared" si="4"/>
        <v>#REF!</v>
      </c>
      <c r="U31" s="149" t="e">
        <f t="shared" si="5"/>
        <v>#REF!</v>
      </c>
      <c r="V31" s="148"/>
      <c r="W31" s="148" t="e">
        <f t="shared" si="13"/>
        <v>#REF!</v>
      </c>
      <c r="X31" s="148" t="e">
        <f t="shared" si="19"/>
        <v>#REF!</v>
      </c>
      <c r="Y31" s="148" t="e">
        <f t="shared" si="19"/>
        <v>#REF!</v>
      </c>
      <c r="Z31" s="148"/>
      <c r="AA31" s="148"/>
      <c r="AB31" s="148"/>
      <c r="AC31" s="148"/>
      <c r="AD31" s="148"/>
      <c r="AE31" s="150" t="e">
        <f t="shared" si="15"/>
        <v>#REF!</v>
      </c>
      <c r="AF31" s="154">
        <v>1</v>
      </c>
      <c r="AG31" s="156">
        <f t="shared" si="16"/>
        <v>2</v>
      </c>
      <c r="AH31" s="149">
        <f t="shared" si="17"/>
        <v>1</v>
      </c>
      <c r="AI31" s="149">
        <f t="shared" si="18"/>
        <v>0.33333333333333331</v>
      </c>
      <c r="AJ31" s="156">
        <v>1</v>
      </c>
      <c r="AK31" s="149"/>
      <c r="AL31" s="148"/>
      <c r="AM31" s="148"/>
      <c r="AN31" s="148"/>
      <c r="AO31" s="148"/>
      <c r="AP31" s="148"/>
      <c r="AQ31" s="148"/>
      <c r="AR31" s="148"/>
      <c r="AS31" s="148"/>
      <c r="AT31" s="148"/>
      <c r="AU31" s="150"/>
      <c r="AV31" s="154"/>
    </row>
    <row r="32" spans="1:48" ht="17.25" thickTop="1" thickBot="1" x14ac:dyDescent="0.3">
      <c r="A32" s="138" t="s">
        <v>145</v>
      </c>
      <c r="B32" s="153" t="s">
        <v>152</v>
      </c>
      <c r="C32" s="140" t="e">
        <f>'[1]Pop-Alvo-CNMenAfricVac por AS'!D38</f>
        <v>#REF!</v>
      </c>
      <c r="D32" s="141">
        <v>1</v>
      </c>
      <c r="E32" s="141">
        <v>0</v>
      </c>
      <c r="F32" s="141">
        <v>0</v>
      </c>
      <c r="G32" s="142" t="e">
        <f t="shared" si="0"/>
        <v>#REF!</v>
      </c>
      <c r="H32" s="142" t="e">
        <f t="shared" si="1"/>
        <v>#REF!</v>
      </c>
      <c r="I32" s="142" t="e">
        <f t="shared" si="2"/>
        <v>#REF!</v>
      </c>
      <c r="J32" s="143" t="e">
        <f t="shared" si="7"/>
        <v>#REF!</v>
      </c>
      <c r="K32" s="143" t="e">
        <f t="shared" si="7"/>
        <v>#REF!</v>
      </c>
      <c r="L32" s="144" t="e">
        <f t="shared" si="7"/>
        <v>#REF!</v>
      </c>
      <c r="M32" s="145" t="e">
        <f t="shared" si="3"/>
        <v>#REF!</v>
      </c>
      <c r="N32" s="146" t="e">
        <f t="shared" si="8"/>
        <v>#REF!</v>
      </c>
      <c r="O32" s="146" t="e">
        <f t="shared" si="9"/>
        <v>#REF!</v>
      </c>
      <c r="P32" s="146" t="e">
        <f t="shared" si="10"/>
        <v>#REF!</v>
      </c>
      <c r="Q32" s="147" t="e">
        <f t="shared" si="11"/>
        <v>#REF!</v>
      </c>
      <c r="R32" s="148" t="e">
        <f t="shared" si="12"/>
        <v>#REF!</v>
      </c>
      <c r="S32" s="149" t="e">
        <f t="shared" si="4"/>
        <v>#REF!</v>
      </c>
      <c r="T32" s="149" t="e">
        <f t="shared" si="4"/>
        <v>#REF!</v>
      </c>
      <c r="U32" s="149" t="e">
        <f t="shared" si="5"/>
        <v>#REF!</v>
      </c>
      <c r="V32" s="148"/>
      <c r="W32" s="148" t="e">
        <f t="shared" si="13"/>
        <v>#REF!</v>
      </c>
      <c r="X32" s="148" t="e">
        <f t="shared" si="19"/>
        <v>#REF!</v>
      </c>
      <c r="Y32" s="148" t="e">
        <f t="shared" si="19"/>
        <v>#REF!</v>
      </c>
      <c r="Z32" s="148"/>
      <c r="AA32" s="148"/>
      <c r="AB32" s="148"/>
      <c r="AC32" s="148"/>
      <c r="AD32" s="148"/>
      <c r="AE32" s="150" t="e">
        <f t="shared" si="15"/>
        <v>#REF!</v>
      </c>
      <c r="AF32" s="154">
        <v>1</v>
      </c>
      <c r="AG32" s="156">
        <f t="shared" si="16"/>
        <v>2</v>
      </c>
      <c r="AH32" s="149">
        <f t="shared" si="17"/>
        <v>1</v>
      </c>
      <c r="AI32" s="149">
        <f t="shared" si="18"/>
        <v>0.33333333333333331</v>
      </c>
      <c r="AJ32" s="156">
        <v>1</v>
      </c>
      <c r="AK32" s="149"/>
      <c r="AL32" s="148"/>
      <c r="AM32" s="148"/>
      <c r="AN32" s="148"/>
      <c r="AO32" s="148"/>
      <c r="AP32" s="148"/>
      <c r="AQ32" s="148"/>
      <c r="AR32" s="148"/>
      <c r="AS32" s="148"/>
      <c r="AT32" s="148"/>
      <c r="AU32" s="150"/>
      <c r="AV32" s="154"/>
    </row>
    <row r="33" spans="1:48" ht="17.25" thickTop="1" thickBot="1" x14ac:dyDescent="0.3">
      <c r="A33" s="138" t="s">
        <v>145</v>
      </c>
      <c r="B33" s="153" t="s">
        <v>153</v>
      </c>
      <c r="C33" s="140" t="e">
        <f>'[1]Pop-Alvo-CNMenAfricVac por AS'!D39</f>
        <v>#REF!</v>
      </c>
      <c r="D33" s="141">
        <v>1</v>
      </c>
      <c r="E33" s="141">
        <v>0</v>
      </c>
      <c r="F33" s="141">
        <v>0</v>
      </c>
      <c r="G33" s="142" t="e">
        <f t="shared" si="0"/>
        <v>#REF!</v>
      </c>
      <c r="H33" s="142" t="e">
        <f t="shared" si="1"/>
        <v>#REF!</v>
      </c>
      <c r="I33" s="142" t="e">
        <f t="shared" si="2"/>
        <v>#REF!</v>
      </c>
      <c r="J33" s="143" t="e">
        <f t="shared" si="7"/>
        <v>#REF!</v>
      </c>
      <c r="K33" s="143" t="e">
        <f t="shared" si="7"/>
        <v>#REF!</v>
      </c>
      <c r="L33" s="144" t="e">
        <f t="shared" si="7"/>
        <v>#REF!</v>
      </c>
      <c r="M33" s="145" t="e">
        <f t="shared" si="3"/>
        <v>#REF!</v>
      </c>
      <c r="N33" s="146" t="e">
        <f t="shared" si="8"/>
        <v>#REF!</v>
      </c>
      <c r="O33" s="146" t="e">
        <f t="shared" si="9"/>
        <v>#REF!</v>
      </c>
      <c r="P33" s="146" t="e">
        <f t="shared" si="10"/>
        <v>#REF!</v>
      </c>
      <c r="Q33" s="147" t="e">
        <f t="shared" si="11"/>
        <v>#REF!</v>
      </c>
      <c r="R33" s="148" t="e">
        <f t="shared" si="12"/>
        <v>#REF!</v>
      </c>
      <c r="S33" s="149" t="e">
        <f t="shared" si="4"/>
        <v>#REF!</v>
      </c>
      <c r="T33" s="149" t="e">
        <f t="shared" si="4"/>
        <v>#REF!</v>
      </c>
      <c r="U33" s="149" t="e">
        <f t="shared" si="5"/>
        <v>#REF!</v>
      </c>
      <c r="V33" s="148"/>
      <c r="W33" s="148" t="e">
        <f t="shared" si="13"/>
        <v>#REF!</v>
      </c>
      <c r="X33" s="148" t="e">
        <f t="shared" si="19"/>
        <v>#REF!</v>
      </c>
      <c r="Y33" s="148" t="e">
        <f t="shared" si="19"/>
        <v>#REF!</v>
      </c>
      <c r="Z33" s="148"/>
      <c r="AA33" s="148"/>
      <c r="AB33" s="148"/>
      <c r="AC33" s="148"/>
      <c r="AD33" s="148"/>
      <c r="AE33" s="150" t="e">
        <f t="shared" si="15"/>
        <v>#REF!</v>
      </c>
      <c r="AF33" s="154">
        <v>1</v>
      </c>
      <c r="AG33" s="156">
        <f t="shared" si="16"/>
        <v>2</v>
      </c>
      <c r="AH33" s="149">
        <f t="shared" si="17"/>
        <v>1</v>
      </c>
      <c r="AI33" s="149">
        <f t="shared" si="18"/>
        <v>0.33333333333333331</v>
      </c>
      <c r="AJ33" s="156">
        <v>1</v>
      </c>
      <c r="AK33" s="149"/>
      <c r="AL33" s="148"/>
      <c r="AM33" s="148"/>
      <c r="AN33" s="148"/>
      <c r="AO33" s="148"/>
      <c r="AP33" s="148"/>
      <c r="AQ33" s="148"/>
      <c r="AR33" s="148"/>
      <c r="AS33" s="148"/>
      <c r="AT33" s="148"/>
      <c r="AU33" s="150"/>
      <c r="AV33" s="154"/>
    </row>
    <row r="34" spans="1:48" ht="17.25" thickTop="1" thickBot="1" x14ac:dyDescent="0.3">
      <c r="A34" s="138" t="s">
        <v>145</v>
      </c>
      <c r="B34" s="153" t="s">
        <v>154</v>
      </c>
      <c r="C34" s="140" t="e">
        <f>'[1]Pop-Alvo-CNMenAfricVac por AS'!D40</f>
        <v>#REF!</v>
      </c>
      <c r="D34" s="141">
        <v>0.7760551248923343</v>
      </c>
      <c r="E34" s="141">
        <v>0.22394487510766581</v>
      </c>
      <c r="F34" s="141">
        <v>0</v>
      </c>
      <c r="G34" s="142" t="e">
        <f t="shared" si="0"/>
        <v>#REF!</v>
      </c>
      <c r="H34" s="142" t="e">
        <f t="shared" si="1"/>
        <v>#REF!</v>
      </c>
      <c r="I34" s="142" t="e">
        <f t="shared" si="2"/>
        <v>#REF!</v>
      </c>
      <c r="J34" s="143" t="e">
        <f t="shared" si="7"/>
        <v>#REF!</v>
      </c>
      <c r="K34" s="143" t="e">
        <f t="shared" si="7"/>
        <v>#REF!</v>
      </c>
      <c r="L34" s="144" t="e">
        <f t="shared" si="7"/>
        <v>#REF!</v>
      </c>
      <c r="M34" s="145" t="e">
        <f t="shared" si="3"/>
        <v>#REF!</v>
      </c>
      <c r="N34" s="146" t="e">
        <f t="shared" si="8"/>
        <v>#REF!</v>
      </c>
      <c r="O34" s="146" t="e">
        <f t="shared" si="9"/>
        <v>#REF!</v>
      </c>
      <c r="P34" s="146" t="e">
        <f t="shared" si="10"/>
        <v>#REF!</v>
      </c>
      <c r="Q34" s="147" t="e">
        <f t="shared" si="11"/>
        <v>#REF!</v>
      </c>
      <c r="R34" s="148" t="e">
        <f t="shared" si="12"/>
        <v>#REF!</v>
      </c>
      <c r="S34" s="149" t="e">
        <f t="shared" si="4"/>
        <v>#REF!</v>
      </c>
      <c r="T34" s="149" t="e">
        <f t="shared" si="4"/>
        <v>#REF!</v>
      </c>
      <c r="U34" s="149" t="e">
        <f t="shared" si="5"/>
        <v>#REF!</v>
      </c>
      <c r="V34" s="148"/>
      <c r="W34" s="148" t="e">
        <f t="shared" si="13"/>
        <v>#REF!</v>
      </c>
      <c r="X34" s="148" t="e">
        <f t="shared" si="19"/>
        <v>#REF!</v>
      </c>
      <c r="Y34" s="148" t="e">
        <f t="shared" si="19"/>
        <v>#REF!</v>
      </c>
      <c r="Z34" s="148"/>
      <c r="AA34" s="148"/>
      <c r="AB34" s="148"/>
      <c r="AC34" s="148"/>
      <c r="AD34" s="148"/>
      <c r="AE34" s="150" t="e">
        <f t="shared" si="15"/>
        <v>#REF!</v>
      </c>
      <c r="AF34" s="154">
        <v>1</v>
      </c>
      <c r="AG34" s="156">
        <f t="shared" si="16"/>
        <v>2</v>
      </c>
      <c r="AH34" s="149">
        <f t="shared" si="17"/>
        <v>1</v>
      </c>
      <c r="AI34" s="149">
        <f t="shared" si="18"/>
        <v>0.33333333333333331</v>
      </c>
      <c r="AJ34" s="156">
        <v>1</v>
      </c>
      <c r="AK34" s="149"/>
      <c r="AL34" s="148"/>
      <c r="AM34" s="148"/>
      <c r="AN34" s="148"/>
      <c r="AO34" s="148"/>
      <c r="AP34" s="148"/>
      <c r="AQ34" s="148"/>
      <c r="AR34" s="148"/>
      <c r="AS34" s="148"/>
      <c r="AT34" s="148"/>
      <c r="AU34" s="150"/>
      <c r="AV34" s="154"/>
    </row>
    <row r="35" spans="1:48" ht="17.25" thickTop="1" thickBot="1" x14ac:dyDescent="0.3">
      <c r="A35" s="138" t="s">
        <v>145</v>
      </c>
      <c r="B35" s="153" t="s">
        <v>155</v>
      </c>
      <c r="C35" s="140" t="e">
        <f>'[1]Pop-Alvo-CNMenAfricVac por AS'!D41</f>
        <v>#REF!</v>
      </c>
      <c r="D35" s="141">
        <v>0.20344216086271988</v>
      </c>
      <c r="E35" s="141">
        <v>0.79655783913728018</v>
      </c>
      <c r="F35" s="141">
        <v>0</v>
      </c>
      <c r="G35" s="142" t="e">
        <f t="shared" si="0"/>
        <v>#REF!</v>
      </c>
      <c r="H35" s="142" t="e">
        <f t="shared" si="1"/>
        <v>#REF!</v>
      </c>
      <c r="I35" s="142" t="e">
        <f t="shared" si="2"/>
        <v>#REF!</v>
      </c>
      <c r="J35" s="143" t="e">
        <f t="shared" si="7"/>
        <v>#REF!</v>
      </c>
      <c r="K35" s="143" t="e">
        <f t="shared" si="7"/>
        <v>#REF!</v>
      </c>
      <c r="L35" s="144" t="e">
        <f t="shared" si="7"/>
        <v>#REF!</v>
      </c>
      <c r="M35" s="145" t="e">
        <f t="shared" si="3"/>
        <v>#REF!</v>
      </c>
      <c r="N35" s="146" t="e">
        <f t="shared" si="8"/>
        <v>#REF!</v>
      </c>
      <c r="O35" s="146" t="e">
        <f t="shared" si="9"/>
        <v>#REF!</v>
      </c>
      <c r="P35" s="146" t="e">
        <f t="shared" si="10"/>
        <v>#REF!</v>
      </c>
      <c r="Q35" s="147" t="e">
        <f t="shared" si="11"/>
        <v>#REF!</v>
      </c>
      <c r="R35" s="148" t="e">
        <f t="shared" si="12"/>
        <v>#REF!</v>
      </c>
      <c r="S35" s="149" t="e">
        <f t="shared" si="4"/>
        <v>#REF!</v>
      </c>
      <c r="T35" s="149" t="e">
        <f t="shared" si="4"/>
        <v>#REF!</v>
      </c>
      <c r="U35" s="149" t="e">
        <f t="shared" si="5"/>
        <v>#REF!</v>
      </c>
      <c r="V35" s="148"/>
      <c r="W35" s="148" t="e">
        <f t="shared" si="13"/>
        <v>#REF!</v>
      </c>
      <c r="X35" s="148" t="e">
        <f t="shared" si="19"/>
        <v>#REF!</v>
      </c>
      <c r="Y35" s="148" t="e">
        <f t="shared" si="19"/>
        <v>#REF!</v>
      </c>
      <c r="Z35" s="148"/>
      <c r="AA35" s="148"/>
      <c r="AB35" s="148"/>
      <c r="AC35" s="148"/>
      <c r="AD35" s="148"/>
      <c r="AE35" s="150" t="e">
        <f t="shared" si="15"/>
        <v>#REF!</v>
      </c>
      <c r="AF35" s="154">
        <v>1</v>
      </c>
      <c r="AG35" s="156">
        <f t="shared" si="16"/>
        <v>2</v>
      </c>
      <c r="AH35" s="149">
        <f t="shared" si="17"/>
        <v>1</v>
      </c>
      <c r="AI35" s="149">
        <f t="shared" si="18"/>
        <v>0.33333333333333331</v>
      </c>
      <c r="AJ35" s="156">
        <v>1</v>
      </c>
      <c r="AK35" s="149"/>
      <c r="AL35" s="148"/>
      <c r="AM35" s="148"/>
      <c r="AN35" s="148"/>
      <c r="AO35" s="148"/>
      <c r="AP35" s="148"/>
      <c r="AQ35" s="148"/>
      <c r="AR35" s="148"/>
      <c r="AS35" s="148"/>
      <c r="AT35" s="148"/>
      <c r="AU35" s="150"/>
      <c r="AV35" s="154"/>
    </row>
    <row r="36" spans="1:48" ht="17.25" thickTop="1" thickBot="1" x14ac:dyDescent="0.3">
      <c r="A36" s="138" t="s">
        <v>145</v>
      </c>
      <c r="B36" s="153" t="s">
        <v>156</v>
      </c>
      <c r="C36" s="140" t="e">
        <f>'[1]Pop-Alvo-CNMenAfricVac por AS'!D42</f>
        <v>#REF!</v>
      </c>
      <c r="D36" s="141">
        <v>0.51418346276751181</v>
      </c>
      <c r="E36" s="141">
        <v>0.48581653723248802</v>
      </c>
      <c r="F36" s="141">
        <v>0</v>
      </c>
      <c r="G36" s="142" t="e">
        <f t="shared" si="0"/>
        <v>#REF!</v>
      </c>
      <c r="H36" s="142" t="e">
        <f t="shared" si="1"/>
        <v>#REF!</v>
      </c>
      <c r="I36" s="142" t="e">
        <f t="shared" si="2"/>
        <v>#REF!</v>
      </c>
      <c r="J36" s="143" t="e">
        <f t="shared" si="7"/>
        <v>#REF!</v>
      </c>
      <c r="K36" s="143" t="e">
        <f t="shared" si="7"/>
        <v>#REF!</v>
      </c>
      <c r="L36" s="144" t="e">
        <f t="shared" si="7"/>
        <v>#REF!</v>
      </c>
      <c r="M36" s="145" t="e">
        <f t="shared" si="3"/>
        <v>#REF!</v>
      </c>
      <c r="N36" s="146" t="e">
        <f t="shared" si="8"/>
        <v>#REF!</v>
      </c>
      <c r="O36" s="146" t="e">
        <f t="shared" si="9"/>
        <v>#REF!</v>
      </c>
      <c r="P36" s="146" t="e">
        <f t="shared" si="10"/>
        <v>#REF!</v>
      </c>
      <c r="Q36" s="147" t="e">
        <f t="shared" si="11"/>
        <v>#REF!</v>
      </c>
      <c r="R36" s="148" t="e">
        <f t="shared" si="12"/>
        <v>#REF!</v>
      </c>
      <c r="S36" s="149" t="e">
        <f t="shared" si="4"/>
        <v>#REF!</v>
      </c>
      <c r="T36" s="149" t="e">
        <f t="shared" si="4"/>
        <v>#REF!</v>
      </c>
      <c r="U36" s="149" t="e">
        <f t="shared" si="5"/>
        <v>#REF!</v>
      </c>
      <c r="V36" s="148"/>
      <c r="W36" s="148" t="e">
        <f t="shared" si="13"/>
        <v>#REF!</v>
      </c>
      <c r="X36" s="148" t="e">
        <f t="shared" si="19"/>
        <v>#REF!</v>
      </c>
      <c r="Y36" s="148" t="e">
        <f t="shared" si="19"/>
        <v>#REF!</v>
      </c>
      <c r="Z36" s="148"/>
      <c r="AA36" s="148"/>
      <c r="AB36" s="148"/>
      <c r="AC36" s="148"/>
      <c r="AD36" s="148"/>
      <c r="AE36" s="150" t="e">
        <f t="shared" si="15"/>
        <v>#REF!</v>
      </c>
      <c r="AF36" s="154">
        <v>1</v>
      </c>
      <c r="AG36" s="156">
        <f t="shared" si="16"/>
        <v>2</v>
      </c>
      <c r="AH36" s="149">
        <f t="shared" si="17"/>
        <v>1</v>
      </c>
      <c r="AI36" s="149">
        <f t="shared" si="18"/>
        <v>0.33333333333333331</v>
      </c>
      <c r="AJ36" s="156">
        <v>1</v>
      </c>
      <c r="AK36" s="149"/>
      <c r="AL36" s="148"/>
      <c r="AM36" s="148"/>
      <c r="AN36" s="148"/>
      <c r="AO36" s="148"/>
      <c r="AP36" s="148"/>
      <c r="AQ36" s="148"/>
      <c r="AR36" s="148"/>
      <c r="AS36" s="148"/>
      <c r="AT36" s="148"/>
      <c r="AU36" s="150"/>
      <c r="AV36" s="154"/>
    </row>
    <row r="37" spans="1:48" ht="17.25" thickTop="1" thickBot="1" x14ac:dyDescent="0.3">
      <c r="A37" s="138" t="s">
        <v>157</v>
      </c>
      <c r="B37" s="153" t="s">
        <v>158</v>
      </c>
      <c r="C37" s="140" t="e">
        <f>'[1]Pop-Alvo-CNMenAfricVac por AS'!D43</f>
        <v>#REF!</v>
      </c>
      <c r="D37" s="141">
        <v>0.33999656473047296</v>
      </c>
      <c r="E37" s="141">
        <v>0.66000343526952698</v>
      </c>
      <c r="F37" s="141">
        <v>0</v>
      </c>
      <c r="G37" s="142" t="e">
        <f t="shared" si="0"/>
        <v>#REF!</v>
      </c>
      <c r="H37" s="142" t="e">
        <f t="shared" si="1"/>
        <v>#REF!</v>
      </c>
      <c r="I37" s="142" t="e">
        <f t="shared" si="2"/>
        <v>#REF!</v>
      </c>
      <c r="J37" s="143" t="e">
        <f t="shared" si="7"/>
        <v>#REF!</v>
      </c>
      <c r="K37" s="143" t="e">
        <f t="shared" si="7"/>
        <v>#REF!</v>
      </c>
      <c r="L37" s="144" t="e">
        <f t="shared" si="7"/>
        <v>#REF!</v>
      </c>
      <c r="M37" s="145" t="e">
        <f t="shared" si="3"/>
        <v>#REF!</v>
      </c>
      <c r="N37" s="146" t="e">
        <f t="shared" si="8"/>
        <v>#REF!</v>
      </c>
      <c r="O37" s="146" t="e">
        <f t="shared" si="9"/>
        <v>#REF!</v>
      </c>
      <c r="P37" s="146" t="e">
        <f t="shared" si="10"/>
        <v>#REF!</v>
      </c>
      <c r="Q37" s="147" t="e">
        <f t="shared" si="11"/>
        <v>#REF!</v>
      </c>
      <c r="R37" s="148" t="e">
        <f t="shared" si="12"/>
        <v>#REF!</v>
      </c>
      <c r="S37" s="149" t="e">
        <f t="shared" si="4"/>
        <v>#REF!</v>
      </c>
      <c r="T37" s="149" t="e">
        <f t="shared" si="4"/>
        <v>#REF!</v>
      </c>
      <c r="U37" s="149" t="e">
        <f t="shared" si="5"/>
        <v>#REF!</v>
      </c>
      <c r="V37" s="148"/>
      <c r="W37" s="148" t="e">
        <f t="shared" si="13"/>
        <v>#REF!</v>
      </c>
      <c r="X37" s="148" t="e">
        <f t="shared" si="19"/>
        <v>#REF!</v>
      </c>
      <c r="Y37" s="148" t="e">
        <f t="shared" si="19"/>
        <v>#REF!</v>
      </c>
      <c r="Z37" s="148"/>
      <c r="AA37" s="148"/>
      <c r="AB37" s="148"/>
      <c r="AC37" s="148"/>
      <c r="AD37" s="148"/>
      <c r="AE37" s="150" t="e">
        <f t="shared" si="15"/>
        <v>#REF!</v>
      </c>
      <c r="AF37" s="154">
        <v>3</v>
      </c>
      <c r="AG37" s="157">
        <f t="shared" si="16"/>
        <v>6</v>
      </c>
      <c r="AH37" s="149">
        <f t="shared" si="17"/>
        <v>3</v>
      </c>
      <c r="AI37" s="149">
        <f t="shared" si="18"/>
        <v>1</v>
      </c>
      <c r="AJ37" s="157">
        <v>1</v>
      </c>
      <c r="AK37" s="149"/>
      <c r="AL37" s="148"/>
      <c r="AM37" s="148"/>
      <c r="AN37" s="148"/>
      <c r="AO37" s="148"/>
      <c r="AP37" s="148"/>
      <c r="AQ37" s="148"/>
      <c r="AR37" s="148"/>
      <c r="AS37" s="148"/>
      <c r="AT37" s="148"/>
      <c r="AU37" s="150"/>
      <c r="AV37" s="154"/>
    </row>
    <row r="38" spans="1:48" ht="17.25" thickTop="1" thickBot="1" x14ac:dyDescent="0.3">
      <c r="A38" s="138" t="s">
        <v>157</v>
      </c>
      <c r="B38" s="153" t="s">
        <v>159</v>
      </c>
      <c r="C38" s="140" t="e">
        <f>'[1]Pop-Alvo-CNMenAfricVac por AS'!D44</f>
        <v>#REF!</v>
      </c>
      <c r="D38" s="141">
        <v>0.33999656473047296</v>
      </c>
      <c r="E38" s="141">
        <v>0.66000343526952698</v>
      </c>
      <c r="F38" s="141">
        <v>0</v>
      </c>
      <c r="G38" s="142" t="e">
        <f t="shared" si="0"/>
        <v>#REF!</v>
      </c>
      <c r="H38" s="142" t="e">
        <f t="shared" si="1"/>
        <v>#REF!</v>
      </c>
      <c r="I38" s="142" t="e">
        <f t="shared" si="2"/>
        <v>#REF!</v>
      </c>
      <c r="J38" s="143" t="e">
        <f t="shared" si="7"/>
        <v>#REF!</v>
      </c>
      <c r="K38" s="143" t="e">
        <f t="shared" si="7"/>
        <v>#REF!</v>
      </c>
      <c r="L38" s="144" t="e">
        <f t="shared" si="7"/>
        <v>#REF!</v>
      </c>
      <c r="M38" s="145" t="e">
        <f t="shared" si="3"/>
        <v>#REF!</v>
      </c>
      <c r="N38" s="146" t="e">
        <f t="shared" si="8"/>
        <v>#REF!</v>
      </c>
      <c r="O38" s="146" t="e">
        <f t="shared" si="9"/>
        <v>#REF!</v>
      </c>
      <c r="P38" s="146" t="e">
        <f t="shared" si="10"/>
        <v>#REF!</v>
      </c>
      <c r="Q38" s="147" t="e">
        <f t="shared" si="11"/>
        <v>#REF!</v>
      </c>
      <c r="R38" s="148" t="e">
        <f t="shared" si="12"/>
        <v>#REF!</v>
      </c>
      <c r="S38" s="149" t="e">
        <f t="shared" si="4"/>
        <v>#REF!</v>
      </c>
      <c r="T38" s="149" t="e">
        <f t="shared" si="4"/>
        <v>#REF!</v>
      </c>
      <c r="U38" s="149" t="e">
        <f t="shared" si="5"/>
        <v>#REF!</v>
      </c>
      <c r="V38" s="148"/>
      <c r="W38" s="148" t="e">
        <f t="shared" si="13"/>
        <v>#REF!</v>
      </c>
      <c r="X38" s="148" t="e">
        <f t="shared" si="19"/>
        <v>#REF!</v>
      </c>
      <c r="Y38" s="148" t="e">
        <f t="shared" si="19"/>
        <v>#REF!</v>
      </c>
      <c r="Z38" s="148"/>
      <c r="AA38" s="148"/>
      <c r="AB38" s="148"/>
      <c r="AC38" s="148"/>
      <c r="AD38" s="148"/>
      <c r="AE38" s="150" t="e">
        <f t="shared" si="15"/>
        <v>#REF!</v>
      </c>
      <c r="AF38" s="154">
        <v>6</v>
      </c>
      <c r="AG38" s="157">
        <f t="shared" si="16"/>
        <v>12</v>
      </c>
      <c r="AH38" s="149">
        <f t="shared" si="17"/>
        <v>6</v>
      </c>
      <c r="AI38" s="149">
        <f t="shared" si="18"/>
        <v>2</v>
      </c>
      <c r="AJ38" s="157">
        <v>2</v>
      </c>
      <c r="AK38" s="149"/>
      <c r="AL38" s="148"/>
      <c r="AM38" s="148"/>
      <c r="AN38" s="148"/>
      <c r="AO38" s="148"/>
      <c r="AP38" s="148"/>
      <c r="AQ38" s="148"/>
      <c r="AR38" s="148"/>
      <c r="AS38" s="148"/>
      <c r="AT38" s="148"/>
      <c r="AU38" s="150"/>
      <c r="AV38" s="154"/>
    </row>
    <row r="39" spans="1:48" ht="17.25" thickTop="1" thickBot="1" x14ac:dyDescent="0.3">
      <c r="A39" s="138" t="s">
        <v>157</v>
      </c>
      <c r="B39" s="153" t="s">
        <v>160</v>
      </c>
      <c r="C39" s="140" t="e">
        <f>'[1]Pop-Alvo-CNMenAfricVac por AS'!D45</f>
        <v>#REF!</v>
      </c>
      <c r="D39" s="141">
        <v>0.33999656473047296</v>
      </c>
      <c r="E39" s="141">
        <v>0.66000343526952698</v>
      </c>
      <c r="F39" s="141">
        <v>0</v>
      </c>
      <c r="G39" s="142" t="e">
        <f t="shared" si="0"/>
        <v>#REF!</v>
      </c>
      <c r="H39" s="142" t="e">
        <f t="shared" si="1"/>
        <v>#REF!</v>
      </c>
      <c r="I39" s="142" t="e">
        <f t="shared" si="2"/>
        <v>#REF!</v>
      </c>
      <c r="J39" s="143" t="e">
        <f t="shared" si="7"/>
        <v>#REF!</v>
      </c>
      <c r="K39" s="143" t="e">
        <f t="shared" si="7"/>
        <v>#REF!</v>
      </c>
      <c r="L39" s="144" t="e">
        <f t="shared" si="7"/>
        <v>#REF!</v>
      </c>
      <c r="M39" s="145" t="e">
        <f t="shared" si="3"/>
        <v>#REF!</v>
      </c>
      <c r="N39" s="146" t="e">
        <f t="shared" si="8"/>
        <v>#REF!</v>
      </c>
      <c r="O39" s="146" t="e">
        <f t="shared" si="9"/>
        <v>#REF!</v>
      </c>
      <c r="P39" s="146" t="e">
        <f t="shared" si="10"/>
        <v>#REF!</v>
      </c>
      <c r="Q39" s="147" t="e">
        <f t="shared" si="11"/>
        <v>#REF!</v>
      </c>
      <c r="R39" s="148" t="e">
        <f t="shared" si="12"/>
        <v>#REF!</v>
      </c>
      <c r="S39" s="149" t="e">
        <f t="shared" si="4"/>
        <v>#REF!</v>
      </c>
      <c r="T39" s="149" t="e">
        <f t="shared" si="4"/>
        <v>#REF!</v>
      </c>
      <c r="U39" s="149" t="e">
        <f t="shared" si="5"/>
        <v>#REF!</v>
      </c>
      <c r="V39" s="148"/>
      <c r="W39" s="148" t="e">
        <f t="shared" si="13"/>
        <v>#REF!</v>
      </c>
      <c r="X39" s="148" t="e">
        <f t="shared" si="19"/>
        <v>#REF!</v>
      </c>
      <c r="Y39" s="148" t="e">
        <f t="shared" si="19"/>
        <v>#REF!</v>
      </c>
      <c r="Z39" s="148"/>
      <c r="AA39" s="148"/>
      <c r="AB39" s="148"/>
      <c r="AC39" s="148"/>
      <c r="AD39" s="148"/>
      <c r="AE39" s="150" t="e">
        <f t="shared" si="15"/>
        <v>#REF!</v>
      </c>
      <c r="AF39" s="154">
        <v>2</v>
      </c>
      <c r="AG39" s="157">
        <f t="shared" si="16"/>
        <v>4</v>
      </c>
      <c r="AH39" s="149">
        <f t="shared" si="17"/>
        <v>2</v>
      </c>
      <c r="AI39" s="149">
        <f t="shared" si="18"/>
        <v>0.66666666666666663</v>
      </c>
      <c r="AJ39" s="157">
        <v>1</v>
      </c>
      <c r="AK39" s="149"/>
      <c r="AL39" s="148"/>
      <c r="AM39" s="148"/>
      <c r="AN39" s="148"/>
      <c r="AO39" s="148"/>
      <c r="AP39" s="148"/>
      <c r="AQ39" s="148"/>
      <c r="AR39" s="148"/>
      <c r="AS39" s="148"/>
      <c r="AT39" s="148"/>
      <c r="AU39" s="150"/>
      <c r="AV39" s="154"/>
    </row>
    <row r="40" spans="1:48" ht="17.25" thickTop="1" thickBot="1" x14ac:dyDescent="0.3">
      <c r="A40" s="138" t="s">
        <v>157</v>
      </c>
      <c r="B40" s="153" t="s">
        <v>161</v>
      </c>
      <c r="C40" s="140" t="e">
        <f>'[1]Pop-Alvo-CNMenAfricVac por AS'!D46</f>
        <v>#REF!</v>
      </c>
      <c r="D40" s="141">
        <v>0.34</v>
      </c>
      <c r="E40" s="141">
        <v>0.59</v>
      </c>
      <c r="F40" s="141">
        <v>7.0000000000000007E-2</v>
      </c>
      <c r="G40" s="142" t="e">
        <f t="shared" si="0"/>
        <v>#REF!</v>
      </c>
      <c r="H40" s="142" t="e">
        <f t="shared" si="1"/>
        <v>#REF!</v>
      </c>
      <c r="I40" s="142" t="e">
        <f t="shared" si="2"/>
        <v>#REF!</v>
      </c>
      <c r="J40" s="143" t="e">
        <f t="shared" si="7"/>
        <v>#REF!</v>
      </c>
      <c r="K40" s="143" t="e">
        <f t="shared" si="7"/>
        <v>#REF!</v>
      </c>
      <c r="L40" s="144" t="e">
        <f t="shared" si="7"/>
        <v>#REF!</v>
      </c>
      <c r="M40" s="145" t="e">
        <f t="shared" si="3"/>
        <v>#REF!</v>
      </c>
      <c r="N40" s="146" t="e">
        <f t="shared" si="8"/>
        <v>#REF!</v>
      </c>
      <c r="O40" s="146" t="e">
        <f t="shared" si="9"/>
        <v>#REF!</v>
      </c>
      <c r="P40" s="146" t="e">
        <f t="shared" si="10"/>
        <v>#REF!</v>
      </c>
      <c r="Q40" s="147" t="e">
        <f t="shared" si="11"/>
        <v>#REF!</v>
      </c>
      <c r="R40" s="148" t="e">
        <f t="shared" si="12"/>
        <v>#REF!</v>
      </c>
      <c r="S40" s="149" t="e">
        <f t="shared" si="4"/>
        <v>#REF!</v>
      </c>
      <c r="T40" s="149" t="e">
        <f t="shared" si="4"/>
        <v>#REF!</v>
      </c>
      <c r="U40" s="149" t="e">
        <f t="shared" si="5"/>
        <v>#REF!</v>
      </c>
      <c r="V40" s="148"/>
      <c r="W40" s="148" t="e">
        <f t="shared" si="13"/>
        <v>#REF!</v>
      </c>
      <c r="X40" s="148" t="e">
        <f t="shared" si="19"/>
        <v>#REF!</v>
      </c>
      <c r="Y40" s="148" t="e">
        <f t="shared" si="19"/>
        <v>#REF!</v>
      </c>
      <c r="Z40" s="148"/>
      <c r="AA40" s="148"/>
      <c r="AB40" s="148"/>
      <c r="AC40" s="148"/>
      <c r="AD40" s="148"/>
      <c r="AE40" s="150" t="e">
        <f t="shared" si="15"/>
        <v>#REF!</v>
      </c>
      <c r="AF40" s="154">
        <v>2</v>
      </c>
      <c r="AG40" s="157">
        <f t="shared" si="16"/>
        <v>4</v>
      </c>
      <c r="AH40" s="149">
        <f t="shared" si="17"/>
        <v>2</v>
      </c>
      <c r="AI40" s="149">
        <f t="shared" si="18"/>
        <v>0.66666666666666663</v>
      </c>
      <c r="AJ40" s="157">
        <v>1</v>
      </c>
      <c r="AK40" s="149"/>
      <c r="AL40" s="148"/>
      <c r="AM40" s="148"/>
      <c r="AN40" s="148"/>
      <c r="AO40" s="148"/>
      <c r="AP40" s="148"/>
      <c r="AQ40" s="148"/>
      <c r="AR40" s="148"/>
      <c r="AS40" s="148"/>
      <c r="AT40" s="148"/>
      <c r="AU40" s="150"/>
      <c r="AV40" s="154"/>
    </row>
    <row r="41" spans="1:48" ht="17.25" thickTop="1" thickBot="1" x14ac:dyDescent="0.3">
      <c r="A41" s="138" t="s">
        <v>157</v>
      </c>
      <c r="B41" s="153" t="s">
        <v>162</v>
      </c>
      <c r="C41" s="140" t="e">
        <f>'[1]Pop-Alvo-CNMenAfricVac por AS'!D47</f>
        <v>#REF!</v>
      </c>
      <c r="D41" s="141">
        <v>0.33999656473047296</v>
      </c>
      <c r="E41" s="141">
        <v>0.66000343526952698</v>
      </c>
      <c r="F41" s="141">
        <v>0</v>
      </c>
      <c r="G41" s="142" t="e">
        <f t="shared" si="0"/>
        <v>#REF!</v>
      </c>
      <c r="H41" s="142" t="e">
        <f t="shared" si="1"/>
        <v>#REF!</v>
      </c>
      <c r="I41" s="142" t="e">
        <f t="shared" si="2"/>
        <v>#REF!</v>
      </c>
      <c r="J41" s="143" t="e">
        <f t="shared" si="7"/>
        <v>#REF!</v>
      </c>
      <c r="K41" s="143" t="e">
        <f t="shared" si="7"/>
        <v>#REF!</v>
      </c>
      <c r="L41" s="144" t="e">
        <f t="shared" si="7"/>
        <v>#REF!</v>
      </c>
      <c r="M41" s="145" t="e">
        <f t="shared" si="3"/>
        <v>#REF!</v>
      </c>
      <c r="N41" s="146" t="e">
        <f t="shared" si="8"/>
        <v>#REF!</v>
      </c>
      <c r="O41" s="146" t="e">
        <f t="shared" si="9"/>
        <v>#REF!</v>
      </c>
      <c r="P41" s="146" t="e">
        <f t="shared" si="10"/>
        <v>#REF!</v>
      </c>
      <c r="Q41" s="147" t="e">
        <f t="shared" si="11"/>
        <v>#REF!</v>
      </c>
      <c r="R41" s="148" t="e">
        <f t="shared" si="12"/>
        <v>#REF!</v>
      </c>
      <c r="S41" s="149" t="e">
        <f t="shared" si="4"/>
        <v>#REF!</v>
      </c>
      <c r="T41" s="149" t="e">
        <f t="shared" si="4"/>
        <v>#REF!</v>
      </c>
      <c r="U41" s="149" t="e">
        <f t="shared" si="5"/>
        <v>#REF!</v>
      </c>
      <c r="V41" s="148"/>
      <c r="W41" s="148" t="e">
        <f t="shared" si="13"/>
        <v>#REF!</v>
      </c>
      <c r="X41" s="148" t="e">
        <f t="shared" si="19"/>
        <v>#REF!</v>
      </c>
      <c r="Y41" s="148" t="e">
        <f t="shared" si="19"/>
        <v>#REF!</v>
      </c>
      <c r="Z41" s="148"/>
      <c r="AA41" s="148"/>
      <c r="AB41" s="148"/>
      <c r="AC41" s="148"/>
      <c r="AD41" s="148"/>
      <c r="AE41" s="150" t="e">
        <f t="shared" si="15"/>
        <v>#REF!</v>
      </c>
      <c r="AF41" s="154">
        <v>4</v>
      </c>
      <c r="AG41" s="157">
        <f t="shared" si="16"/>
        <v>8</v>
      </c>
      <c r="AH41" s="149">
        <f t="shared" si="17"/>
        <v>4</v>
      </c>
      <c r="AI41" s="149">
        <f t="shared" si="18"/>
        <v>1.3333333333333333</v>
      </c>
      <c r="AJ41" s="157">
        <v>1</v>
      </c>
      <c r="AK41" s="149"/>
      <c r="AL41" s="148"/>
      <c r="AM41" s="148"/>
      <c r="AN41" s="148"/>
      <c r="AO41" s="148"/>
      <c r="AP41" s="148"/>
      <c r="AQ41" s="148"/>
      <c r="AR41" s="148"/>
      <c r="AS41" s="148"/>
      <c r="AT41" s="148"/>
      <c r="AU41" s="150"/>
      <c r="AV41" s="154"/>
    </row>
    <row r="42" spans="1:48" ht="17.25" thickTop="1" thickBot="1" x14ac:dyDescent="0.3">
      <c r="A42" s="138" t="s">
        <v>157</v>
      </c>
      <c r="B42" s="153" t="s">
        <v>163</v>
      </c>
      <c r="C42" s="140" t="e">
        <f>'[1]Pop-Alvo-CNMenAfricVac por AS'!D48</f>
        <v>#REF!</v>
      </c>
      <c r="D42" s="141">
        <v>0.33999656473047296</v>
      </c>
      <c r="E42" s="141">
        <v>0.66000343526952698</v>
      </c>
      <c r="F42" s="141">
        <v>0</v>
      </c>
      <c r="G42" s="142" t="e">
        <f t="shared" si="0"/>
        <v>#REF!</v>
      </c>
      <c r="H42" s="142" t="e">
        <f t="shared" si="1"/>
        <v>#REF!</v>
      </c>
      <c r="I42" s="142" t="e">
        <f t="shared" si="2"/>
        <v>#REF!</v>
      </c>
      <c r="J42" s="143" t="e">
        <f t="shared" si="7"/>
        <v>#REF!</v>
      </c>
      <c r="K42" s="143" t="e">
        <f t="shared" si="7"/>
        <v>#REF!</v>
      </c>
      <c r="L42" s="144" t="e">
        <f t="shared" si="7"/>
        <v>#REF!</v>
      </c>
      <c r="M42" s="145" t="e">
        <f t="shared" si="3"/>
        <v>#REF!</v>
      </c>
      <c r="N42" s="146" t="e">
        <f t="shared" si="8"/>
        <v>#REF!</v>
      </c>
      <c r="O42" s="146" t="e">
        <f t="shared" si="9"/>
        <v>#REF!</v>
      </c>
      <c r="P42" s="146" t="e">
        <f t="shared" si="10"/>
        <v>#REF!</v>
      </c>
      <c r="Q42" s="147" t="e">
        <f t="shared" si="11"/>
        <v>#REF!</v>
      </c>
      <c r="R42" s="148" t="e">
        <f t="shared" si="12"/>
        <v>#REF!</v>
      </c>
      <c r="S42" s="149" t="e">
        <f t="shared" si="4"/>
        <v>#REF!</v>
      </c>
      <c r="T42" s="149" t="e">
        <f t="shared" si="4"/>
        <v>#REF!</v>
      </c>
      <c r="U42" s="149" t="e">
        <f t="shared" si="5"/>
        <v>#REF!</v>
      </c>
      <c r="V42" s="148"/>
      <c r="W42" s="148" t="e">
        <f t="shared" si="13"/>
        <v>#REF!</v>
      </c>
      <c r="X42" s="148" t="e">
        <f t="shared" si="19"/>
        <v>#REF!</v>
      </c>
      <c r="Y42" s="148" t="e">
        <f t="shared" si="19"/>
        <v>#REF!</v>
      </c>
      <c r="Z42" s="148"/>
      <c r="AA42" s="148"/>
      <c r="AB42" s="148"/>
      <c r="AC42" s="148"/>
      <c r="AD42" s="148"/>
      <c r="AE42" s="150" t="e">
        <f t="shared" si="15"/>
        <v>#REF!</v>
      </c>
      <c r="AF42" s="154">
        <v>3</v>
      </c>
      <c r="AG42" s="157">
        <f t="shared" si="16"/>
        <v>6</v>
      </c>
      <c r="AH42" s="149">
        <f t="shared" si="17"/>
        <v>3</v>
      </c>
      <c r="AI42" s="149">
        <f t="shared" si="18"/>
        <v>1</v>
      </c>
      <c r="AJ42" s="157">
        <v>1</v>
      </c>
      <c r="AK42" s="149"/>
      <c r="AL42" s="148"/>
      <c r="AM42" s="148"/>
      <c r="AN42" s="148"/>
      <c r="AO42" s="148"/>
      <c r="AP42" s="148"/>
      <c r="AQ42" s="148"/>
      <c r="AR42" s="148"/>
      <c r="AS42" s="148"/>
      <c r="AT42" s="148"/>
      <c r="AU42" s="150"/>
      <c r="AV42" s="154"/>
    </row>
    <row r="43" spans="1:48" ht="17.25" thickTop="1" thickBot="1" x14ac:dyDescent="0.3">
      <c r="A43" s="138" t="s">
        <v>157</v>
      </c>
      <c r="B43" s="153" t="s">
        <v>164</v>
      </c>
      <c r="C43" s="140" t="e">
        <f>'[1]Pop-Alvo-CNMenAfricVac por AS'!D49</f>
        <v>#REF!</v>
      </c>
      <c r="D43" s="141">
        <v>0.34</v>
      </c>
      <c r="E43" s="141">
        <v>0.59</v>
      </c>
      <c r="F43" s="141">
        <v>7.0000000000000007E-2</v>
      </c>
      <c r="G43" s="142" t="e">
        <f t="shared" si="0"/>
        <v>#REF!</v>
      </c>
      <c r="H43" s="142" t="e">
        <f t="shared" si="1"/>
        <v>#REF!</v>
      </c>
      <c r="I43" s="142" t="e">
        <f t="shared" si="2"/>
        <v>#REF!</v>
      </c>
      <c r="J43" s="143" t="e">
        <f t="shared" si="7"/>
        <v>#REF!</v>
      </c>
      <c r="K43" s="143" t="e">
        <f t="shared" si="7"/>
        <v>#REF!</v>
      </c>
      <c r="L43" s="144" t="e">
        <f t="shared" si="7"/>
        <v>#REF!</v>
      </c>
      <c r="M43" s="145" t="e">
        <f t="shared" si="3"/>
        <v>#REF!</v>
      </c>
      <c r="N43" s="146" t="e">
        <f t="shared" si="8"/>
        <v>#REF!</v>
      </c>
      <c r="O43" s="146" t="e">
        <f t="shared" si="9"/>
        <v>#REF!</v>
      </c>
      <c r="P43" s="146" t="e">
        <f t="shared" si="10"/>
        <v>#REF!</v>
      </c>
      <c r="Q43" s="147" t="e">
        <f t="shared" si="11"/>
        <v>#REF!</v>
      </c>
      <c r="R43" s="148" t="e">
        <f t="shared" si="12"/>
        <v>#REF!</v>
      </c>
      <c r="S43" s="149" t="e">
        <f t="shared" si="4"/>
        <v>#REF!</v>
      </c>
      <c r="T43" s="149" t="e">
        <f t="shared" si="4"/>
        <v>#REF!</v>
      </c>
      <c r="U43" s="149" t="e">
        <f t="shared" si="5"/>
        <v>#REF!</v>
      </c>
      <c r="V43" s="148"/>
      <c r="W43" s="148" t="e">
        <f t="shared" si="13"/>
        <v>#REF!</v>
      </c>
      <c r="X43" s="148" t="e">
        <f t="shared" si="19"/>
        <v>#REF!</v>
      </c>
      <c r="Y43" s="148" t="e">
        <f t="shared" si="19"/>
        <v>#REF!</v>
      </c>
      <c r="Z43" s="148"/>
      <c r="AA43" s="148"/>
      <c r="AB43" s="148"/>
      <c r="AC43" s="148"/>
      <c r="AD43" s="148"/>
      <c r="AE43" s="150" t="e">
        <f t="shared" si="15"/>
        <v>#REF!</v>
      </c>
      <c r="AF43" s="154">
        <v>7</v>
      </c>
      <c r="AG43" s="157">
        <f t="shared" si="16"/>
        <v>14</v>
      </c>
      <c r="AH43" s="149">
        <f t="shared" si="17"/>
        <v>7</v>
      </c>
      <c r="AI43" s="149">
        <f t="shared" si="18"/>
        <v>2.3333333333333335</v>
      </c>
      <c r="AJ43" s="157">
        <v>2</v>
      </c>
      <c r="AK43" s="149">
        <v>2</v>
      </c>
      <c r="AL43" s="148"/>
      <c r="AM43" s="148"/>
      <c r="AN43" s="148"/>
      <c r="AO43" s="148"/>
      <c r="AP43" s="148"/>
      <c r="AQ43" s="148"/>
      <c r="AR43" s="148"/>
      <c r="AS43" s="148"/>
      <c r="AT43" s="148"/>
      <c r="AU43" s="150"/>
      <c r="AV43" s="154"/>
    </row>
    <row r="44" spans="1:48" ht="17.25" thickTop="1" thickBot="1" x14ac:dyDescent="0.3">
      <c r="A44" s="138" t="s">
        <v>157</v>
      </c>
      <c r="B44" s="153" t="s">
        <v>165</v>
      </c>
      <c r="C44" s="140" t="e">
        <f>'[1]Pop-Alvo-CNMenAfricVac por AS'!D50</f>
        <v>#REF!</v>
      </c>
      <c r="D44" s="141">
        <v>0.33999656473047296</v>
      </c>
      <c r="E44" s="141">
        <v>0.66000343526952698</v>
      </c>
      <c r="F44" s="141">
        <v>0</v>
      </c>
      <c r="G44" s="142" t="e">
        <f t="shared" si="0"/>
        <v>#REF!</v>
      </c>
      <c r="H44" s="142" t="e">
        <f t="shared" si="1"/>
        <v>#REF!</v>
      </c>
      <c r="I44" s="142" t="e">
        <f t="shared" si="2"/>
        <v>#REF!</v>
      </c>
      <c r="J44" s="143" t="e">
        <f t="shared" si="7"/>
        <v>#REF!</v>
      </c>
      <c r="K44" s="143" t="e">
        <f t="shared" si="7"/>
        <v>#REF!</v>
      </c>
      <c r="L44" s="144" t="e">
        <f t="shared" si="7"/>
        <v>#REF!</v>
      </c>
      <c r="M44" s="145" t="e">
        <f t="shared" ref="M44:M107" si="20">SUM(J44:L44)</f>
        <v>#REF!</v>
      </c>
      <c r="N44" s="146" t="e">
        <f t="shared" si="8"/>
        <v>#REF!</v>
      </c>
      <c r="O44" s="146" t="e">
        <f t="shared" si="9"/>
        <v>#REF!</v>
      </c>
      <c r="P44" s="146" t="e">
        <f t="shared" si="10"/>
        <v>#REF!</v>
      </c>
      <c r="Q44" s="147" t="e">
        <f t="shared" si="11"/>
        <v>#REF!</v>
      </c>
      <c r="R44" s="148" t="e">
        <f t="shared" si="12"/>
        <v>#REF!</v>
      </c>
      <c r="S44" s="149" t="e">
        <f t="shared" ref="S44:T75" si="21">N44/100</f>
        <v>#REF!</v>
      </c>
      <c r="T44" s="149" t="e">
        <f t="shared" si="21"/>
        <v>#REF!</v>
      </c>
      <c r="U44" s="149" t="e">
        <f t="shared" si="5"/>
        <v>#REF!</v>
      </c>
      <c r="V44" s="148"/>
      <c r="W44" s="148" t="e">
        <f t="shared" si="13"/>
        <v>#REF!</v>
      </c>
      <c r="X44" s="148" t="e">
        <f t="shared" ref="X44:Y59" si="22">ROUND(IF(W44&lt;=15,W44,15),0)</f>
        <v>#REF!</v>
      </c>
      <c r="Y44" s="148" t="e">
        <f t="shared" si="22"/>
        <v>#REF!</v>
      </c>
      <c r="Z44" s="148"/>
      <c r="AA44" s="148"/>
      <c r="AB44" s="148"/>
      <c r="AC44" s="148"/>
      <c r="AD44" s="148"/>
      <c r="AE44" s="150" t="e">
        <f t="shared" si="15"/>
        <v>#REF!</v>
      </c>
      <c r="AF44" s="154">
        <v>4</v>
      </c>
      <c r="AG44" s="157">
        <f t="shared" si="16"/>
        <v>8</v>
      </c>
      <c r="AH44" s="149">
        <f t="shared" si="17"/>
        <v>4</v>
      </c>
      <c r="AI44" s="149">
        <f t="shared" si="18"/>
        <v>1.3333333333333333</v>
      </c>
      <c r="AJ44" s="157">
        <v>1</v>
      </c>
      <c r="AK44" s="149"/>
      <c r="AL44" s="148"/>
      <c r="AM44" s="148"/>
      <c r="AN44" s="148"/>
      <c r="AO44" s="148"/>
      <c r="AP44" s="148"/>
      <c r="AQ44" s="148"/>
      <c r="AR44" s="148"/>
      <c r="AS44" s="148"/>
      <c r="AT44" s="148"/>
      <c r="AU44" s="150"/>
      <c r="AV44" s="154"/>
    </row>
    <row r="45" spans="1:48" ht="17.25" thickTop="1" thickBot="1" x14ac:dyDescent="0.3">
      <c r="A45" s="138" t="s">
        <v>166</v>
      </c>
      <c r="B45" s="153" t="s">
        <v>166</v>
      </c>
      <c r="C45" s="140" t="e">
        <f>'[1]Pop-Alvo-CNMenAfricVac por AS'!D51</f>
        <v>#REF!</v>
      </c>
      <c r="D45" s="141">
        <v>0.83570169035230124</v>
      </c>
      <c r="E45" s="141">
        <v>5.1768920790730436E-2</v>
      </c>
      <c r="F45" s="141">
        <v>0.11252938885696838</v>
      </c>
      <c r="G45" s="142" t="e">
        <f t="shared" si="0"/>
        <v>#REF!</v>
      </c>
      <c r="H45" s="142" t="e">
        <f t="shared" si="1"/>
        <v>#REF!</v>
      </c>
      <c r="I45" s="142" t="e">
        <f t="shared" si="2"/>
        <v>#REF!</v>
      </c>
      <c r="J45" s="143" t="e">
        <f t="shared" si="7"/>
        <v>#REF!</v>
      </c>
      <c r="K45" s="143" t="e">
        <f t="shared" si="7"/>
        <v>#REF!</v>
      </c>
      <c r="L45" s="144" t="e">
        <f t="shared" si="7"/>
        <v>#REF!</v>
      </c>
      <c r="M45" s="145" t="e">
        <f t="shared" si="20"/>
        <v>#REF!</v>
      </c>
      <c r="N45" s="146" t="e">
        <f t="shared" si="8"/>
        <v>#REF!</v>
      </c>
      <c r="O45" s="146" t="e">
        <f t="shared" si="9"/>
        <v>#REF!</v>
      </c>
      <c r="P45" s="146" t="e">
        <f t="shared" si="10"/>
        <v>#REF!</v>
      </c>
      <c r="Q45" s="147" t="e">
        <f t="shared" si="11"/>
        <v>#REF!</v>
      </c>
      <c r="R45" s="148" t="e">
        <f t="shared" si="12"/>
        <v>#REF!</v>
      </c>
      <c r="S45" s="149" t="e">
        <f t="shared" si="21"/>
        <v>#REF!</v>
      </c>
      <c r="T45" s="149" t="e">
        <f t="shared" si="21"/>
        <v>#REF!</v>
      </c>
      <c r="U45" s="149" t="e">
        <f t="shared" si="5"/>
        <v>#REF!</v>
      </c>
      <c r="V45" s="148"/>
      <c r="W45" s="148" t="e">
        <f t="shared" si="13"/>
        <v>#REF!</v>
      </c>
      <c r="X45" s="148" t="e">
        <f t="shared" si="22"/>
        <v>#REF!</v>
      </c>
      <c r="Y45" s="148" t="e">
        <f t="shared" si="22"/>
        <v>#REF!</v>
      </c>
      <c r="Z45" s="148"/>
      <c r="AA45" s="148"/>
      <c r="AB45" s="148"/>
      <c r="AC45" s="148"/>
      <c r="AD45" s="148"/>
      <c r="AE45" s="150" t="e">
        <f t="shared" si="15"/>
        <v>#REF!</v>
      </c>
      <c r="AF45" s="154">
        <v>2</v>
      </c>
      <c r="AG45" s="158">
        <f t="shared" si="16"/>
        <v>4</v>
      </c>
      <c r="AH45" s="149">
        <f t="shared" si="17"/>
        <v>2</v>
      </c>
      <c r="AI45" s="149">
        <f t="shared" si="18"/>
        <v>0.66666666666666663</v>
      </c>
      <c r="AJ45" s="158">
        <v>1</v>
      </c>
      <c r="AK45" s="149">
        <v>1</v>
      </c>
      <c r="AL45" s="148"/>
      <c r="AM45" s="148"/>
      <c r="AN45" s="148"/>
      <c r="AO45" s="148"/>
      <c r="AP45" s="148"/>
      <c r="AQ45" s="148"/>
      <c r="AR45" s="148"/>
      <c r="AS45" s="148"/>
      <c r="AT45" s="148"/>
      <c r="AU45" s="150"/>
      <c r="AV45" s="154"/>
    </row>
    <row r="46" spans="1:48" ht="17.25" thickTop="1" thickBot="1" x14ac:dyDescent="0.3">
      <c r="A46" s="138" t="s">
        <v>166</v>
      </c>
      <c r="B46" s="153" t="s">
        <v>167</v>
      </c>
      <c r="C46" s="140" t="e">
        <f>'[1]Pop-Alvo-CNMenAfricVac por AS'!D52</f>
        <v>#REF!</v>
      </c>
      <c r="D46" s="141">
        <v>0.437323897113015</v>
      </c>
      <c r="E46" s="141">
        <v>0.48522048100794901</v>
      </c>
      <c r="F46" s="141">
        <v>7.7455621879036804E-2</v>
      </c>
      <c r="G46" s="142" t="e">
        <f t="shared" si="0"/>
        <v>#REF!</v>
      </c>
      <c r="H46" s="142" t="e">
        <f t="shared" si="1"/>
        <v>#REF!</v>
      </c>
      <c r="I46" s="142" t="e">
        <f t="shared" si="2"/>
        <v>#REF!</v>
      </c>
      <c r="J46" s="143" t="e">
        <f t="shared" si="7"/>
        <v>#REF!</v>
      </c>
      <c r="K46" s="143" t="e">
        <f t="shared" si="7"/>
        <v>#REF!</v>
      </c>
      <c r="L46" s="144" t="e">
        <f t="shared" si="7"/>
        <v>#REF!</v>
      </c>
      <c r="M46" s="145" t="e">
        <f t="shared" si="20"/>
        <v>#REF!</v>
      </c>
      <c r="N46" s="146" t="e">
        <f t="shared" si="8"/>
        <v>#REF!</v>
      </c>
      <c r="O46" s="146" t="e">
        <f t="shared" si="9"/>
        <v>#REF!</v>
      </c>
      <c r="P46" s="146" t="e">
        <f t="shared" si="10"/>
        <v>#REF!</v>
      </c>
      <c r="Q46" s="147" t="e">
        <f t="shared" si="11"/>
        <v>#REF!</v>
      </c>
      <c r="R46" s="148" t="e">
        <f t="shared" si="12"/>
        <v>#REF!</v>
      </c>
      <c r="S46" s="149" t="e">
        <f t="shared" si="21"/>
        <v>#REF!</v>
      </c>
      <c r="T46" s="149" t="e">
        <f t="shared" si="21"/>
        <v>#REF!</v>
      </c>
      <c r="U46" s="149" t="e">
        <f t="shared" si="5"/>
        <v>#REF!</v>
      </c>
      <c r="V46" s="148"/>
      <c r="W46" s="148" t="e">
        <f t="shared" si="13"/>
        <v>#REF!</v>
      </c>
      <c r="X46" s="148" t="e">
        <f t="shared" si="22"/>
        <v>#REF!</v>
      </c>
      <c r="Y46" s="148" t="e">
        <f t="shared" si="22"/>
        <v>#REF!</v>
      </c>
      <c r="Z46" s="148"/>
      <c r="AA46" s="148"/>
      <c r="AB46" s="148"/>
      <c r="AC46" s="148"/>
      <c r="AD46" s="148"/>
      <c r="AE46" s="150" t="e">
        <f t="shared" si="15"/>
        <v>#REF!</v>
      </c>
      <c r="AF46" s="154">
        <v>2</v>
      </c>
      <c r="AG46" s="158">
        <f t="shared" si="16"/>
        <v>4</v>
      </c>
      <c r="AH46" s="149">
        <f t="shared" si="17"/>
        <v>2</v>
      </c>
      <c r="AI46" s="149">
        <f t="shared" si="18"/>
        <v>0.66666666666666663</v>
      </c>
      <c r="AJ46" s="158">
        <v>1</v>
      </c>
      <c r="AK46" s="149"/>
      <c r="AL46" s="148"/>
      <c r="AM46" s="148"/>
      <c r="AN46" s="148"/>
      <c r="AO46" s="148"/>
      <c r="AP46" s="148"/>
      <c r="AQ46" s="148"/>
      <c r="AR46" s="148"/>
      <c r="AS46" s="148"/>
      <c r="AT46" s="148"/>
      <c r="AU46" s="150"/>
      <c r="AV46" s="154"/>
    </row>
    <row r="47" spans="1:48" ht="17.25" thickTop="1" thickBot="1" x14ac:dyDescent="0.3">
      <c r="A47" s="138" t="s">
        <v>166</v>
      </c>
      <c r="B47" s="153" t="s">
        <v>168</v>
      </c>
      <c r="C47" s="140" t="e">
        <f>'[1]Pop-Alvo-CNMenAfricVac por AS'!D53</f>
        <v>#REF!</v>
      </c>
      <c r="D47" s="141">
        <v>0.37111812485774565</v>
      </c>
      <c r="E47" s="141">
        <v>0.34812854661570042</v>
      </c>
      <c r="F47" s="141">
        <v>0.28075332852655377</v>
      </c>
      <c r="G47" s="142" t="e">
        <f t="shared" si="0"/>
        <v>#REF!</v>
      </c>
      <c r="H47" s="142" t="e">
        <f t="shared" si="1"/>
        <v>#REF!</v>
      </c>
      <c r="I47" s="142" t="e">
        <f t="shared" si="2"/>
        <v>#REF!</v>
      </c>
      <c r="J47" s="143" t="e">
        <f t="shared" si="7"/>
        <v>#REF!</v>
      </c>
      <c r="K47" s="143" t="e">
        <f t="shared" si="7"/>
        <v>#REF!</v>
      </c>
      <c r="L47" s="144" t="e">
        <f t="shared" si="7"/>
        <v>#REF!</v>
      </c>
      <c r="M47" s="145" t="e">
        <f t="shared" si="20"/>
        <v>#REF!</v>
      </c>
      <c r="N47" s="146" t="e">
        <f t="shared" si="8"/>
        <v>#REF!</v>
      </c>
      <c r="O47" s="146" t="e">
        <f t="shared" si="9"/>
        <v>#REF!</v>
      </c>
      <c r="P47" s="146" t="e">
        <f t="shared" si="10"/>
        <v>#REF!</v>
      </c>
      <c r="Q47" s="147" t="e">
        <f t="shared" si="11"/>
        <v>#REF!</v>
      </c>
      <c r="R47" s="148" t="e">
        <f t="shared" si="12"/>
        <v>#REF!</v>
      </c>
      <c r="S47" s="149" t="e">
        <f t="shared" si="21"/>
        <v>#REF!</v>
      </c>
      <c r="T47" s="149" t="e">
        <f t="shared" si="21"/>
        <v>#REF!</v>
      </c>
      <c r="U47" s="149" t="e">
        <f t="shared" si="5"/>
        <v>#REF!</v>
      </c>
      <c r="V47" s="148"/>
      <c r="W47" s="148" t="e">
        <f t="shared" si="13"/>
        <v>#REF!</v>
      </c>
      <c r="X47" s="148" t="e">
        <f t="shared" si="22"/>
        <v>#REF!</v>
      </c>
      <c r="Y47" s="148" t="e">
        <f t="shared" si="22"/>
        <v>#REF!</v>
      </c>
      <c r="Z47" s="148"/>
      <c r="AA47" s="148"/>
      <c r="AB47" s="148"/>
      <c r="AC47" s="148"/>
      <c r="AD47" s="148"/>
      <c r="AE47" s="150" t="e">
        <f t="shared" si="15"/>
        <v>#REF!</v>
      </c>
      <c r="AF47" s="154">
        <v>1</v>
      </c>
      <c r="AG47" s="158">
        <f t="shared" si="16"/>
        <v>2</v>
      </c>
      <c r="AH47" s="149">
        <f t="shared" si="17"/>
        <v>1</v>
      </c>
      <c r="AI47" s="149">
        <f t="shared" si="18"/>
        <v>0.33333333333333331</v>
      </c>
      <c r="AJ47" s="158">
        <v>1</v>
      </c>
      <c r="AK47" s="149"/>
      <c r="AL47" s="148"/>
      <c r="AM47" s="148"/>
      <c r="AN47" s="148"/>
      <c r="AO47" s="148"/>
      <c r="AP47" s="148"/>
      <c r="AQ47" s="148"/>
      <c r="AR47" s="148"/>
      <c r="AS47" s="148"/>
      <c r="AT47" s="148"/>
      <c r="AU47" s="150"/>
      <c r="AV47" s="154"/>
    </row>
    <row r="48" spans="1:48" ht="17.25" thickTop="1" thickBot="1" x14ac:dyDescent="0.3">
      <c r="A48" s="138" t="s">
        <v>169</v>
      </c>
      <c r="B48" s="153" t="s">
        <v>170</v>
      </c>
      <c r="C48" s="140" t="e">
        <f>'[1]Pop-Alvo-CNMenAfricVac por AS'!D54</f>
        <v>#REF!</v>
      </c>
      <c r="D48" s="141">
        <v>0.69784274765824583</v>
      </c>
      <c r="E48" s="141">
        <v>0.30215725234175422</v>
      </c>
      <c r="F48" s="141">
        <v>0</v>
      </c>
      <c r="G48" s="142" t="e">
        <f t="shared" si="0"/>
        <v>#REF!</v>
      </c>
      <c r="H48" s="142" t="e">
        <f t="shared" si="1"/>
        <v>#REF!</v>
      </c>
      <c r="I48" s="142" t="e">
        <f t="shared" si="2"/>
        <v>#REF!</v>
      </c>
      <c r="J48" s="143" t="e">
        <f t="shared" si="7"/>
        <v>#REF!</v>
      </c>
      <c r="K48" s="143" t="e">
        <f t="shared" si="7"/>
        <v>#REF!</v>
      </c>
      <c r="L48" s="144" t="e">
        <f t="shared" si="7"/>
        <v>#REF!</v>
      </c>
      <c r="M48" s="145" t="e">
        <f t="shared" si="20"/>
        <v>#REF!</v>
      </c>
      <c r="N48" s="146" t="e">
        <f t="shared" si="8"/>
        <v>#REF!</v>
      </c>
      <c r="O48" s="146" t="e">
        <f t="shared" si="9"/>
        <v>#REF!</v>
      </c>
      <c r="P48" s="146" t="e">
        <f t="shared" si="10"/>
        <v>#REF!</v>
      </c>
      <c r="Q48" s="147" t="e">
        <f t="shared" si="11"/>
        <v>#REF!</v>
      </c>
      <c r="R48" s="148" t="e">
        <f t="shared" si="12"/>
        <v>#REF!</v>
      </c>
      <c r="S48" s="149" t="e">
        <f t="shared" si="21"/>
        <v>#REF!</v>
      </c>
      <c r="T48" s="149" t="e">
        <f t="shared" si="21"/>
        <v>#REF!</v>
      </c>
      <c r="U48" s="149" t="e">
        <f t="shared" si="5"/>
        <v>#REF!</v>
      </c>
      <c r="V48" s="148"/>
      <c r="W48" s="148" t="e">
        <f t="shared" si="13"/>
        <v>#REF!</v>
      </c>
      <c r="X48" s="148" t="e">
        <f t="shared" si="22"/>
        <v>#REF!</v>
      </c>
      <c r="Y48" s="148" t="e">
        <f t="shared" si="22"/>
        <v>#REF!</v>
      </c>
      <c r="Z48" s="148"/>
      <c r="AA48" s="148"/>
      <c r="AB48" s="148"/>
      <c r="AC48" s="148"/>
      <c r="AD48" s="148"/>
      <c r="AE48" s="150" t="e">
        <f t="shared" si="15"/>
        <v>#REF!</v>
      </c>
      <c r="AF48" s="154">
        <v>2</v>
      </c>
      <c r="AG48" s="159">
        <f t="shared" si="16"/>
        <v>4</v>
      </c>
      <c r="AH48" s="149">
        <f t="shared" si="17"/>
        <v>2</v>
      </c>
      <c r="AI48" s="149">
        <f t="shared" si="18"/>
        <v>0.66666666666666663</v>
      </c>
      <c r="AJ48" s="159">
        <v>1</v>
      </c>
      <c r="AK48" s="149"/>
      <c r="AL48" s="148"/>
      <c r="AM48" s="148"/>
      <c r="AN48" s="148"/>
      <c r="AO48" s="148"/>
      <c r="AP48" s="148"/>
      <c r="AQ48" s="148"/>
      <c r="AR48" s="148"/>
      <c r="AS48" s="148"/>
      <c r="AT48" s="148"/>
      <c r="AU48" s="150"/>
      <c r="AV48" s="154"/>
    </row>
    <row r="49" spans="1:48" ht="17.25" thickTop="1" thickBot="1" x14ac:dyDescent="0.3">
      <c r="A49" s="138" t="s">
        <v>169</v>
      </c>
      <c r="B49" s="153" t="s">
        <v>171</v>
      </c>
      <c r="C49" s="140" t="e">
        <f>'[1]Pop-Alvo-CNMenAfricVac por AS'!D55</f>
        <v>#REF!</v>
      </c>
      <c r="D49" s="141">
        <v>0.18635562186355623</v>
      </c>
      <c r="E49" s="141">
        <v>0.81364437813644364</v>
      </c>
      <c r="F49" s="141">
        <v>0</v>
      </c>
      <c r="G49" s="142" t="e">
        <f t="shared" si="0"/>
        <v>#REF!</v>
      </c>
      <c r="H49" s="142" t="e">
        <f t="shared" si="1"/>
        <v>#REF!</v>
      </c>
      <c r="I49" s="142" t="e">
        <f t="shared" si="2"/>
        <v>#REF!</v>
      </c>
      <c r="J49" s="143" t="e">
        <f t="shared" si="7"/>
        <v>#REF!</v>
      </c>
      <c r="K49" s="143" t="e">
        <f t="shared" si="7"/>
        <v>#REF!</v>
      </c>
      <c r="L49" s="144" t="e">
        <f t="shared" si="7"/>
        <v>#REF!</v>
      </c>
      <c r="M49" s="145" t="e">
        <f t="shared" si="20"/>
        <v>#REF!</v>
      </c>
      <c r="N49" s="146" t="e">
        <f t="shared" si="8"/>
        <v>#REF!</v>
      </c>
      <c r="O49" s="146" t="e">
        <f t="shared" si="9"/>
        <v>#REF!</v>
      </c>
      <c r="P49" s="146" t="e">
        <f t="shared" si="10"/>
        <v>#REF!</v>
      </c>
      <c r="Q49" s="147" t="e">
        <f t="shared" si="11"/>
        <v>#REF!</v>
      </c>
      <c r="R49" s="148" t="e">
        <f t="shared" si="12"/>
        <v>#REF!</v>
      </c>
      <c r="S49" s="149" t="e">
        <f t="shared" si="21"/>
        <v>#REF!</v>
      </c>
      <c r="T49" s="149" t="e">
        <f t="shared" si="21"/>
        <v>#REF!</v>
      </c>
      <c r="U49" s="149" t="e">
        <f t="shared" si="5"/>
        <v>#REF!</v>
      </c>
      <c r="V49" s="148"/>
      <c r="W49" s="148" t="e">
        <f t="shared" si="13"/>
        <v>#REF!</v>
      </c>
      <c r="X49" s="148" t="e">
        <f t="shared" si="22"/>
        <v>#REF!</v>
      </c>
      <c r="Y49" s="148" t="e">
        <f t="shared" si="22"/>
        <v>#REF!</v>
      </c>
      <c r="Z49" s="148"/>
      <c r="AA49" s="148"/>
      <c r="AB49" s="148"/>
      <c r="AC49" s="148"/>
      <c r="AD49" s="148"/>
      <c r="AE49" s="150" t="e">
        <f t="shared" si="15"/>
        <v>#REF!</v>
      </c>
      <c r="AF49" s="154">
        <v>2</v>
      </c>
      <c r="AG49" s="159">
        <f t="shared" si="16"/>
        <v>4</v>
      </c>
      <c r="AH49" s="149">
        <f t="shared" si="17"/>
        <v>2</v>
      </c>
      <c r="AI49" s="149">
        <f t="shared" si="18"/>
        <v>0.66666666666666663</v>
      </c>
      <c r="AJ49" s="159">
        <v>1</v>
      </c>
      <c r="AK49" s="149"/>
      <c r="AL49" s="148"/>
      <c r="AM49" s="148"/>
      <c r="AN49" s="148"/>
      <c r="AO49" s="148"/>
      <c r="AP49" s="148"/>
      <c r="AQ49" s="148"/>
      <c r="AR49" s="148"/>
      <c r="AS49" s="148"/>
      <c r="AT49" s="148"/>
      <c r="AU49" s="150"/>
      <c r="AV49" s="154"/>
    </row>
    <row r="50" spans="1:48" ht="17.25" thickTop="1" thickBot="1" x14ac:dyDescent="0.3">
      <c r="A50" s="138" t="s">
        <v>169</v>
      </c>
      <c r="B50" s="153" t="s">
        <v>172</v>
      </c>
      <c r="C50" s="140" t="e">
        <f>'[1]Pop-Alvo-CNMenAfricVac por AS'!D56</f>
        <v>#REF!</v>
      </c>
      <c r="D50" s="141">
        <v>0.68819566490919759</v>
      </c>
      <c r="E50" s="141">
        <v>0.31180433509080263</v>
      </c>
      <c r="F50" s="141">
        <v>0</v>
      </c>
      <c r="G50" s="142" t="e">
        <f t="shared" si="0"/>
        <v>#REF!</v>
      </c>
      <c r="H50" s="142" t="e">
        <f t="shared" si="1"/>
        <v>#REF!</v>
      </c>
      <c r="I50" s="142" t="e">
        <f t="shared" si="2"/>
        <v>#REF!</v>
      </c>
      <c r="J50" s="143" t="e">
        <f t="shared" si="7"/>
        <v>#REF!</v>
      </c>
      <c r="K50" s="143" t="e">
        <f t="shared" si="7"/>
        <v>#REF!</v>
      </c>
      <c r="L50" s="144" t="e">
        <f t="shared" si="7"/>
        <v>#REF!</v>
      </c>
      <c r="M50" s="145" t="e">
        <f t="shared" si="20"/>
        <v>#REF!</v>
      </c>
      <c r="N50" s="146" t="e">
        <f t="shared" si="8"/>
        <v>#REF!</v>
      </c>
      <c r="O50" s="146" t="e">
        <f t="shared" si="9"/>
        <v>#REF!</v>
      </c>
      <c r="P50" s="146" t="e">
        <f t="shared" si="10"/>
        <v>#REF!</v>
      </c>
      <c r="Q50" s="147" t="e">
        <f t="shared" si="11"/>
        <v>#REF!</v>
      </c>
      <c r="R50" s="148" t="e">
        <f t="shared" si="12"/>
        <v>#REF!</v>
      </c>
      <c r="S50" s="149" t="e">
        <f t="shared" si="21"/>
        <v>#REF!</v>
      </c>
      <c r="T50" s="149" t="e">
        <f t="shared" si="21"/>
        <v>#REF!</v>
      </c>
      <c r="U50" s="149" t="e">
        <f t="shared" si="5"/>
        <v>#REF!</v>
      </c>
      <c r="V50" s="148"/>
      <c r="W50" s="148" t="e">
        <f t="shared" si="13"/>
        <v>#REF!</v>
      </c>
      <c r="X50" s="148" t="e">
        <f t="shared" si="22"/>
        <v>#REF!</v>
      </c>
      <c r="Y50" s="148" t="e">
        <f t="shared" si="22"/>
        <v>#REF!</v>
      </c>
      <c r="Z50" s="148"/>
      <c r="AA50" s="148"/>
      <c r="AB50" s="148"/>
      <c r="AC50" s="148"/>
      <c r="AD50" s="148"/>
      <c r="AE50" s="150" t="e">
        <f t="shared" si="15"/>
        <v>#REF!</v>
      </c>
      <c r="AF50" s="154">
        <v>2</v>
      </c>
      <c r="AG50" s="159">
        <f t="shared" si="16"/>
        <v>4</v>
      </c>
      <c r="AH50" s="149">
        <f t="shared" si="17"/>
        <v>2</v>
      </c>
      <c r="AI50" s="149">
        <f t="shared" si="18"/>
        <v>0.66666666666666663</v>
      </c>
      <c r="AJ50" s="159">
        <v>1</v>
      </c>
      <c r="AK50" s="149"/>
      <c r="AL50" s="148"/>
      <c r="AM50" s="148"/>
      <c r="AN50" s="148"/>
      <c r="AO50" s="148"/>
      <c r="AP50" s="148"/>
      <c r="AQ50" s="148"/>
      <c r="AR50" s="148"/>
      <c r="AS50" s="148"/>
      <c r="AT50" s="148"/>
      <c r="AU50" s="150"/>
      <c r="AV50" s="154"/>
    </row>
    <row r="51" spans="1:48" ht="17.25" thickTop="1" thickBot="1" x14ac:dyDescent="0.3">
      <c r="A51" s="138" t="s">
        <v>169</v>
      </c>
      <c r="B51" s="153" t="s">
        <v>173</v>
      </c>
      <c r="C51" s="140" t="e">
        <f>'[1]Pop-Alvo-CNMenAfricVac por AS'!D57</f>
        <v>#REF!</v>
      </c>
      <c r="D51" s="141">
        <v>0.45350030794498053</v>
      </c>
      <c r="E51" s="141">
        <v>0.48833230685006507</v>
      </c>
      <c r="F51" s="141">
        <v>5.8167385204954493E-2</v>
      </c>
      <c r="G51" s="142" t="e">
        <f t="shared" si="0"/>
        <v>#REF!</v>
      </c>
      <c r="H51" s="142" t="e">
        <f t="shared" si="1"/>
        <v>#REF!</v>
      </c>
      <c r="I51" s="142" t="e">
        <f t="shared" si="2"/>
        <v>#REF!</v>
      </c>
      <c r="J51" s="143" t="e">
        <f t="shared" si="7"/>
        <v>#REF!</v>
      </c>
      <c r="K51" s="143" t="e">
        <f t="shared" si="7"/>
        <v>#REF!</v>
      </c>
      <c r="L51" s="144" t="e">
        <f t="shared" si="7"/>
        <v>#REF!</v>
      </c>
      <c r="M51" s="145" t="e">
        <f t="shared" si="20"/>
        <v>#REF!</v>
      </c>
      <c r="N51" s="146" t="e">
        <f t="shared" si="8"/>
        <v>#REF!</v>
      </c>
      <c r="O51" s="146" t="e">
        <f t="shared" si="9"/>
        <v>#REF!</v>
      </c>
      <c r="P51" s="146" t="e">
        <f t="shared" si="10"/>
        <v>#REF!</v>
      </c>
      <c r="Q51" s="147" t="e">
        <f t="shared" si="11"/>
        <v>#REF!</v>
      </c>
      <c r="R51" s="148" t="e">
        <f t="shared" si="12"/>
        <v>#REF!</v>
      </c>
      <c r="S51" s="149" t="e">
        <f t="shared" si="21"/>
        <v>#REF!</v>
      </c>
      <c r="T51" s="149" t="e">
        <f t="shared" si="21"/>
        <v>#REF!</v>
      </c>
      <c r="U51" s="149" t="e">
        <f t="shared" si="5"/>
        <v>#REF!</v>
      </c>
      <c r="V51" s="148"/>
      <c r="W51" s="148" t="e">
        <f t="shared" si="13"/>
        <v>#REF!</v>
      </c>
      <c r="X51" s="148" t="e">
        <f t="shared" si="22"/>
        <v>#REF!</v>
      </c>
      <c r="Y51" s="148" t="e">
        <f t="shared" si="22"/>
        <v>#REF!</v>
      </c>
      <c r="Z51" s="148"/>
      <c r="AA51" s="148"/>
      <c r="AB51" s="148"/>
      <c r="AC51" s="148"/>
      <c r="AD51" s="148"/>
      <c r="AE51" s="150" t="e">
        <f t="shared" si="15"/>
        <v>#REF!</v>
      </c>
      <c r="AF51" s="154">
        <v>4</v>
      </c>
      <c r="AG51" s="159">
        <f t="shared" si="16"/>
        <v>8</v>
      </c>
      <c r="AH51" s="149">
        <f t="shared" si="17"/>
        <v>4</v>
      </c>
      <c r="AI51" s="149">
        <f t="shared" si="18"/>
        <v>1.3333333333333333</v>
      </c>
      <c r="AJ51" s="159">
        <v>1</v>
      </c>
      <c r="AK51" s="149"/>
      <c r="AL51" s="148"/>
      <c r="AM51" s="148"/>
      <c r="AN51" s="148"/>
      <c r="AO51" s="148"/>
      <c r="AP51" s="148"/>
      <c r="AQ51" s="148"/>
      <c r="AR51" s="148"/>
      <c r="AS51" s="148"/>
      <c r="AT51" s="148"/>
      <c r="AU51" s="150"/>
      <c r="AV51" s="154"/>
    </row>
    <row r="52" spans="1:48" ht="17.25" thickTop="1" thickBot="1" x14ac:dyDescent="0.3">
      <c r="A52" s="138" t="s">
        <v>169</v>
      </c>
      <c r="B52" s="153" t="s">
        <v>174</v>
      </c>
      <c r="C52" s="140" t="e">
        <f>'[1]Pop-Alvo-CNMenAfricVac por AS'!D58</f>
        <v>#REF!</v>
      </c>
      <c r="D52" s="141">
        <v>0.42655764392481876</v>
      </c>
      <c r="E52" s="141">
        <v>0.52456711558383895</v>
      </c>
      <c r="F52" s="141">
        <v>4.8875240491342314E-2</v>
      </c>
      <c r="G52" s="142" t="e">
        <f t="shared" si="0"/>
        <v>#REF!</v>
      </c>
      <c r="H52" s="142" t="e">
        <f t="shared" si="1"/>
        <v>#REF!</v>
      </c>
      <c r="I52" s="142" t="e">
        <f t="shared" si="2"/>
        <v>#REF!</v>
      </c>
      <c r="J52" s="143" t="e">
        <f t="shared" si="7"/>
        <v>#REF!</v>
      </c>
      <c r="K52" s="143" t="e">
        <f t="shared" si="7"/>
        <v>#REF!</v>
      </c>
      <c r="L52" s="144" t="e">
        <f t="shared" si="7"/>
        <v>#REF!</v>
      </c>
      <c r="M52" s="145" t="e">
        <f t="shared" si="20"/>
        <v>#REF!</v>
      </c>
      <c r="N52" s="146" t="e">
        <f t="shared" si="8"/>
        <v>#REF!</v>
      </c>
      <c r="O52" s="146" t="e">
        <f t="shared" si="9"/>
        <v>#REF!</v>
      </c>
      <c r="P52" s="146" t="e">
        <f t="shared" si="10"/>
        <v>#REF!</v>
      </c>
      <c r="Q52" s="147" t="e">
        <f t="shared" si="11"/>
        <v>#REF!</v>
      </c>
      <c r="R52" s="148" t="e">
        <f t="shared" si="12"/>
        <v>#REF!</v>
      </c>
      <c r="S52" s="149" t="e">
        <f t="shared" si="21"/>
        <v>#REF!</v>
      </c>
      <c r="T52" s="149" t="e">
        <f t="shared" si="21"/>
        <v>#REF!</v>
      </c>
      <c r="U52" s="149" t="e">
        <f t="shared" si="5"/>
        <v>#REF!</v>
      </c>
      <c r="V52" s="148"/>
      <c r="W52" s="148" t="e">
        <f t="shared" si="13"/>
        <v>#REF!</v>
      </c>
      <c r="X52" s="148" t="e">
        <f t="shared" si="22"/>
        <v>#REF!</v>
      </c>
      <c r="Y52" s="148" t="e">
        <f t="shared" si="22"/>
        <v>#REF!</v>
      </c>
      <c r="Z52" s="148"/>
      <c r="AA52" s="148"/>
      <c r="AB52" s="148"/>
      <c r="AC52" s="148"/>
      <c r="AD52" s="148"/>
      <c r="AE52" s="150" t="e">
        <f t="shared" si="15"/>
        <v>#REF!</v>
      </c>
      <c r="AF52" s="154">
        <v>7</v>
      </c>
      <c r="AG52" s="159">
        <f t="shared" si="16"/>
        <v>14</v>
      </c>
      <c r="AH52" s="149">
        <f t="shared" si="17"/>
        <v>7</v>
      </c>
      <c r="AI52" s="149">
        <f t="shared" si="18"/>
        <v>2.3333333333333335</v>
      </c>
      <c r="AJ52" s="159">
        <v>2</v>
      </c>
      <c r="AK52" s="149"/>
      <c r="AL52" s="148"/>
      <c r="AM52" s="148"/>
      <c r="AN52" s="148"/>
      <c r="AO52" s="148"/>
      <c r="AP52" s="148"/>
      <c r="AQ52" s="148"/>
      <c r="AR52" s="148"/>
      <c r="AS52" s="148"/>
      <c r="AT52" s="148"/>
      <c r="AU52" s="150"/>
      <c r="AV52" s="154"/>
    </row>
    <row r="53" spans="1:48" ht="17.25" thickTop="1" thickBot="1" x14ac:dyDescent="0.3">
      <c r="A53" s="138" t="s">
        <v>169</v>
      </c>
      <c r="B53" s="153" t="s">
        <v>169</v>
      </c>
      <c r="C53" s="140" t="e">
        <f>'[1]Pop-Alvo-CNMenAfricVac por AS'!D59</f>
        <v>#REF!</v>
      </c>
      <c r="D53" s="141">
        <v>0.444413887933998</v>
      </c>
      <c r="E53" s="141">
        <v>0.1372980405637676</v>
      </c>
      <c r="F53" s="141">
        <v>0.41828807150223446</v>
      </c>
      <c r="G53" s="142" t="e">
        <f t="shared" si="0"/>
        <v>#REF!</v>
      </c>
      <c r="H53" s="142" t="e">
        <f t="shared" si="1"/>
        <v>#REF!</v>
      </c>
      <c r="I53" s="142" t="e">
        <f t="shared" si="2"/>
        <v>#REF!</v>
      </c>
      <c r="J53" s="143" t="e">
        <f t="shared" si="7"/>
        <v>#REF!</v>
      </c>
      <c r="K53" s="143" t="e">
        <f t="shared" si="7"/>
        <v>#REF!</v>
      </c>
      <c r="L53" s="144" t="e">
        <f t="shared" si="7"/>
        <v>#REF!</v>
      </c>
      <c r="M53" s="145" t="e">
        <f t="shared" si="20"/>
        <v>#REF!</v>
      </c>
      <c r="N53" s="146" t="e">
        <f t="shared" si="8"/>
        <v>#REF!</v>
      </c>
      <c r="O53" s="146" t="e">
        <f t="shared" si="9"/>
        <v>#REF!</v>
      </c>
      <c r="P53" s="146" t="e">
        <f t="shared" si="10"/>
        <v>#REF!</v>
      </c>
      <c r="Q53" s="147" t="e">
        <f t="shared" si="11"/>
        <v>#REF!</v>
      </c>
      <c r="R53" s="148" t="e">
        <f t="shared" si="12"/>
        <v>#REF!</v>
      </c>
      <c r="S53" s="149" t="e">
        <f t="shared" si="21"/>
        <v>#REF!</v>
      </c>
      <c r="T53" s="149" t="e">
        <f t="shared" si="21"/>
        <v>#REF!</v>
      </c>
      <c r="U53" s="149" t="e">
        <f t="shared" si="5"/>
        <v>#REF!</v>
      </c>
      <c r="V53" s="148"/>
      <c r="W53" s="148" t="e">
        <f t="shared" si="13"/>
        <v>#REF!</v>
      </c>
      <c r="X53" s="148" t="e">
        <f t="shared" si="22"/>
        <v>#REF!</v>
      </c>
      <c r="Y53" s="148" t="e">
        <f t="shared" si="22"/>
        <v>#REF!</v>
      </c>
      <c r="Z53" s="148"/>
      <c r="AA53" s="148"/>
      <c r="AB53" s="148"/>
      <c r="AC53" s="148"/>
      <c r="AD53" s="148"/>
      <c r="AE53" s="150" t="e">
        <f t="shared" si="15"/>
        <v>#REF!</v>
      </c>
      <c r="AF53" s="154">
        <v>4</v>
      </c>
      <c r="AG53" s="159">
        <f t="shared" si="16"/>
        <v>8</v>
      </c>
      <c r="AH53" s="149">
        <f t="shared" si="17"/>
        <v>4</v>
      </c>
      <c r="AI53" s="149">
        <f t="shared" si="18"/>
        <v>1.3333333333333333</v>
      </c>
      <c r="AJ53" s="159">
        <v>1</v>
      </c>
      <c r="AK53" s="149"/>
      <c r="AL53" s="148"/>
      <c r="AM53" s="148"/>
      <c r="AN53" s="148"/>
      <c r="AO53" s="148"/>
      <c r="AP53" s="148"/>
      <c r="AQ53" s="148"/>
      <c r="AR53" s="148"/>
      <c r="AS53" s="148"/>
      <c r="AT53" s="148"/>
      <c r="AU53" s="150"/>
      <c r="AV53" s="154"/>
    </row>
    <row r="54" spans="1:48" ht="16.5" thickTop="1" x14ac:dyDescent="0.25">
      <c r="A54" s="138" t="s">
        <v>169</v>
      </c>
      <c r="B54" s="153" t="s">
        <v>175</v>
      </c>
      <c r="C54" s="140" t="e">
        <f>'[1]Pop-Alvo-CNMenAfricVac por AS'!D60</f>
        <v>#REF!</v>
      </c>
      <c r="D54" s="141">
        <v>0.49965308752106252</v>
      </c>
      <c r="E54" s="141">
        <v>0.50034691247893737</v>
      </c>
      <c r="F54" s="141">
        <v>0</v>
      </c>
      <c r="G54" s="142" t="e">
        <f t="shared" si="0"/>
        <v>#REF!</v>
      </c>
      <c r="H54" s="142" t="e">
        <f t="shared" si="1"/>
        <v>#REF!</v>
      </c>
      <c r="I54" s="142" t="e">
        <f t="shared" si="2"/>
        <v>#REF!</v>
      </c>
      <c r="J54" s="143" t="e">
        <f t="shared" si="7"/>
        <v>#REF!</v>
      </c>
      <c r="K54" s="143" t="e">
        <f t="shared" si="7"/>
        <v>#REF!</v>
      </c>
      <c r="L54" s="144" t="e">
        <f t="shared" si="7"/>
        <v>#REF!</v>
      </c>
      <c r="M54" s="145" t="e">
        <f t="shared" si="20"/>
        <v>#REF!</v>
      </c>
      <c r="N54" s="146" t="e">
        <f t="shared" si="8"/>
        <v>#REF!</v>
      </c>
      <c r="O54" s="146" t="e">
        <f t="shared" si="9"/>
        <v>#REF!</v>
      </c>
      <c r="P54" s="146" t="e">
        <f t="shared" si="10"/>
        <v>#REF!</v>
      </c>
      <c r="Q54" s="147" t="e">
        <f t="shared" si="11"/>
        <v>#REF!</v>
      </c>
      <c r="R54" s="148" t="e">
        <f t="shared" si="12"/>
        <v>#REF!</v>
      </c>
      <c r="S54" s="149" t="e">
        <f t="shared" si="21"/>
        <v>#REF!</v>
      </c>
      <c r="T54" s="149" t="e">
        <f t="shared" si="21"/>
        <v>#REF!</v>
      </c>
      <c r="U54" s="149" t="e">
        <f t="shared" si="5"/>
        <v>#REF!</v>
      </c>
      <c r="V54" s="148"/>
      <c r="W54" s="148" t="e">
        <f t="shared" si="13"/>
        <v>#REF!</v>
      </c>
      <c r="X54" s="148" t="e">
        <f t="shared" si="22"/>
        <v>#REF!</v>
      </c>
      <c r="Y54" s="148" t="e">
        <f t="shared" si="22"/>
        <v>#REF!</v>
      </c>
      <c r="Z54" s="148"/>
      <c r="AA54" s="148"/>
      <c r="AB54" s="148"/>
      <c r="AC54" s="148"/>
      <c r="AD54" s="148"/>
      <c r="AE54" s="150" t="e">
        <f t="shared" si="15"/>
        <v>#REF!</v>
      </c>
      <c r="AF54" s="154">
        <v>3</v>
      </c>
      <c r="AG54" s="159">
        <f t="shared" si="16"/>
        <v>6</v>
      </c>
      <c r="AH54" s="149">
        <f t="shared" si="17"/>
        <v>3</v>
      </c>
      <c r="AI54" s="149">
        <f t="shared" si="18"/>
        <v>1</v>
      </c>
      <c r="AJ54" s="159">
        <v>1</v>
      </c>
      <c r="AK54" s="149"/>
      <c r="AL54" s="148"/>
      <c r="AM54" s="148"/>
      <c r="AN54" s="148"/>
      <c r="AO54" s="148"/>
      <c r="AP54" s="148"/>
      <c r="AQ54" s="148"/>
      <c r="AR54" s="148"/>
      <c r="AS54" s="148"/>
      <c r="AT54" s="148"/>
      <c r="AU54" s="150"/>
      <c r="AV54" s="154"/>
    </row>
    <row r="55" spans="1:48" ht="16.5" thickBot="1" x14ac:dyDescent="0.3">
      <c r="A55" s="138" t="s">
        <v>169</v>
      </c>
      <c r="B55" s="153" t="s">
        <v>176</v>
      </c>
      <c r="C55" s="140" t="e">
        <f>'[1]Pop-Alvo-CNMenAfricVac por AS'!D61</f>
        <v>#REF!</v>
      </c>
      <c r="D55" s="160">
        <v>0.35387927833742999</v>
      </c>
      <c r="E55" s="160">
        <v>0.30089002514135399</v>
      </c>
      <c r="F55" s="160">
        <v>0.34523069652121602</v>
      </c>
      <c r="G55" s="142" t="e">
        <f t="shared" si="0"/>
        <v>#REF!</v>
      </c>
      <c r="H55" s="142" t="e">
        <f t="shared" si="1"/>
        <v>#REF!</v>
      </c>
      <c r="I55" s="142" t="e">
        <f t="shared" si="2"/>
        <v>#REF!</v>
      </c>
      <c r="J55" s="143" t="e">
        <f t="shared" si="7"/>
        <v>#REF!</v>
      </c>
      <c r="K55" s="143" t="e">
        <f t="shared" si="7"/>
        <v>#REF!</v>
      </c>
      <c r="L55" s="144" t="e">
        <f t="shared" si="7"/>
        <v>#REF!</v>
      </c>
      <c r="M55" s="145" t="e">
        <f t="shared" si="20"/>
        <v>#REF!</v>
      </c>
      <c r="N55" s="146" t="e">
        <f t="shared" si="8"/>
        <v>#REF!</v>
      </c>
      <c r="O55" s="146" t="e">
        <f t="shared" si="9"/>
        <v>#REF!</v>
      </c>
      <c r="P55" s="146" t="e">
        <f t="shared" si="10"/>
        <v>#REF!</v>
      </c>
      <c r="Q55" s="147" t="e">
        <f t="shared" si="11"/>
        <v>#REF!</v>
      </c>
      <c r="R55" s="148" t="e">
        <f t="shared" si="12"/>
        <v>#REF!</v>
      </c>
      <c r="S55" s="149" t="e">
        <f t="shared" si="21"/>
        <v>#REF!</v>
      </c>
      <c r="T55" s="149" t="e">
        <f t="shared" si="21"/>
        <v>#REF!</v>
      </c>
      <c r="U55" s="149" t="e">
        <f t="shared" si="5"/>
        <v>#REF!</v>
      </c>
      <c r="V55" s="148"/>
      <c r="W55" s="148" t="e">
        <f t="shared" si="13"/>
        <v>#REF!</v>
      </c>
      <c r="X55" s="148" t="e">
        <f t="shared" si="22"/>
        <v>#REF!</v>
      </c>
      <c r="Y55" s="148" t="e">
        <f t="shared" si="22"/>
        <v>#REF!</v>
      </c>
      <c r="Z55" s="148"/>
      <c r="AA55" s="148"/>
      <c r="AB55" s="148"/>
      <c r="AC55" s="148"/>
      <c r="AD55" s="148"/>
      <c r="AE55" s="150" t="e">
        <f t="shared" si="15"/>
        <v>#REF!</v>
      </c>
      <c r="AF55" s="154">
        <v>3</v>
      </c>
      <c r="AG55" s="159">
        <f t="shared" si="16"/>
        <v>6</v>
      </c>
      <c r="AH55" s="149">
        <f t="shared" si="17"/>
        <v>3</v>
      </c>
      <c r="AI55" s="149">
        <f t="shared" si="18"/>
        <v>1</v>
      </c>
      <c r="AJ55" s="159">
        <v>1</v>
      </c>
      <c r="AK55" s="149"/>
      <c r="AL55" s="148"/>
      <c r="AM55" s="148"/>
      <c r="AN55" s="148"/>
      <c r="AO55" s="148"/>
      <c r="AP55" s="148"/>
      <c r="AQ55" s="148"/>
      <c r="AR55" s="148"/>
      <c r="AS55" s="148"/>
      <c r="AT55" s="148"/>
      <c r="AU55" s="150"/>
      <c r="AV55" s="154"/>
    </row>
    <row r="56" spans="1:48" ht="17.25" thickTop="1" thickBot="1" x14ac:dyDescent="0.3">
      <c r="A56" s="138" t="s">
        <v>169</v>
      </c>
      <c r="B56" s="153" t="s">
        <v>177</v>
      </c>
      <c r="C56" s="140" t="e">
        <f>'[1]Pop-Alvo-CNMenAfricVac por AS'!D62</f>
        <v>#REF!</v>
      </c>
      <c r="D56" s="141">
        <v>0.82066381156316925</v>
      </c>
      <c r="E56" s="141">
        <v>0.17933618843683088</v>
      </c>
      <c r="F56" s="141">
        <v>0</v>
      </c>
      <c r="G56" s="142" t="e">
        <f t="shared" si="0"/>
        <v>#REF!</v>
      </c>
      <c r="H56" s="142" t="e">
        <f t="shared" si="1"/>
        <v>#REF!</v>
      </c>
      <c r="I56" s="142" t="e">
        <f t="shared" si="2"/>
        <v>#REF!</v>
      </c>
      <c r="J56" s="143" t="e">
        <f t="shared" si="7"/>
        <v>#REF!</v>
      </c>
      <c r="K56" s="143" t="e">
        <f t="shared" si="7"/>
        <v>#REF!</v>
      </c>
      <c r="L56" s="144" t="e">
        <f t="shared" si="7"/>
        <v>#REF!</v>
      </c>
      <c r="M56" s="145" t="e">
        <f t="shared" si="20"/>
        <v>#REF!</v>
      </c>
      <c r="N56" s="146" t="e">
        <f t="shared" si="8"/>
        <v>#REF!</v>
      </c>
      <c r="O56" s="146" t="e">
        <f t="shared" si="9"/>
        <v>#REF!</v>
      </c>
      <c r="P56" s="146" t="e">
        <f t="shared" si="10"/>
        <v>#REF!</v>
      </c>
      <c r="Q56" s="147" t="e">
        <f t="shared" si="11"/>
        <v>#REF!</v>
      </c>
      <c r="R56" s="148" t="e">
        <f t="shared" si="12"/>
        <v>#REF!</v>
      </c>
      <c r="S56" s="149" t="e">
        <f t="shared" si="21"/>
        <v>#REF!</v>
      </c>
      <c r="T56" s="149" t="e">
        <f t="shared" si="21"/>
        <v>#REF!</v>
      </c>
      <c r="U56" s="149" t="e">
        <f t="shared" si="5"/>
        <v>#REF!</v>
      </c>
      <c r="V56" s="148"/>
      <c r="W56" s="148" t="e">
        <f t="shared" si="13"/>
        <v>#REF!</v>
      </c>
      <c r="X56" s="148" t="e">
        <f t="shared" si="22"/>
        <v>#REF!</v>
      </c>
      <c r="Y56" s="148" t="e">
        <f t="shared" si="22"/>
        <v>#REF!</v>
      </c>
      <c r="Z56" s="148"/>
      <c r="AA56" s="148"/>
      <c r="AB56" s="148"/>
      <c r="AC56" s="148"/>
      <c r="AD56" s="148"/>
      <c r="AE56" s="150" t="e">
        <f t="shared" si="15"/>
        <v>#REF!</v>
      </c>
      <c r="AF56" s="154">
        <v>8</v>
      </c>
      <c r="AG56" s="159">
        <f t="shared" si="16"/>
        <v>16</v>
      </c>
      <c r="AH56" s="149">
        <f t="shared" si="17"/>
        <v>8</v>
      </c>
      <c r="AI56" s="149">
        <f t="shared" si="18"/>
        <v>2.6666666666666665</v>
      </c>
      <c r="AJ56" s="159">
        <v>3</v>
      </c>
      <c r="AK56" s="149">
        <v>3</v>
      </c>
      <c r="AL56" s="148"/>
      <c r="AM56" s="148"/>
      <c r="AN56" s="148"/>
      <c r="AO56" s="148"/>
      <c r="AP56" s="148"/>
      <c r="AQ56" s="148"/>
      <c r="AR56" s="148"/>
      <c r="AS56" s="148"/>
      <c r="AT56" s="148"/>
      <c r="AU56" s="150"/>
      <c r="AV56" s="154"/>
    </row>
    <row r="57" spans="1:48" ht="17.25" thickTop="1" thickBot="1" x14ac:dyDescent="0.3">
      <c r="A57" s="138" t="s">
        <v>169</v>
      </c>
      <c r="B57" s="153" t="s">
        <v>178</v>
      </c>
      <c r="C57" s="140" t="e">
        <f>'[1]Pop-Alvo-CNMenAfricVac por AS'!D63</f>
        <v>#REF!</v>
      </c>
      <c r="D57" s="141">
        <v>0.80917229464425944</v>
      </c>
      <c r="E57" s="141">
        <v>0.19082770535574053</v>
      </c>
      <c r="F57" s="141">
        <v>0</v>
      </c>
      <c r="G57" s="142" t="e">
        <f t="shared" si="0"/>
        <v>#REF!</v>
      </c>
      <c r="H57" s="142" t="e">
        <f t="shared" si="1"/>
        <v>#REF!</v>
      </c>
      <c r="I57" s="142" t="e">
        <f t="shared" si="2"/>
        <v>#REF!</v>
      </c>
      <c r="J57" s="143" t="e">
        <f t="shared" si="7"/>
        <v>#REF!</v>
      </c>
      <c r="K57" s="143" t="e">
        <f t="shared" si="7"/>
        <v>#REF!</v>
      </c>
      <c r="L57" s="144" t="e">
        <f t="shared" si="7"/>
        <v>#REF!</v>
      </c>
      <c r="M57" s="145" t="e">
        <f t="shared" si="20"/>
        <v>#REF!</v>
      </c>
      <c r="N57" s="146" t="e">
        <f t="shared" si="8"/>
        <v>#REF!</v>
      </c>
      <c r="O57" s="146" t="e">
        <f t="shared" si="9"/>
        <v>#REF!</v>
      </c>
      <c r="P57" s="146" t="e">
        <f t="shared" si="10"/>
        <v>#REF!</v>
      </c>
      <c r="Q57" s="147" t="e">
        <f t="shared" si="11"/>
        <v>#REF!</v>
      </c>
      <c r="R57" s="148" t="e">
        <f t="shared" si="12"/>
        <v>#REF!</v>
      </c>
      <c r="S57" s="149" t="e">
        <f t="shared" si="21"/>
        <v>#REF!</v>
      </c>
      <c r="T57" s="149" t="e">
        <f t="shared" si="21"/>
        <v>#REF!</v>
      </c>
      <c r="U57" s="149" t="e">
        <f t="shared" si="5"/>
        <v>#REF!</v>
      </c>
      <c r="V57" s="148"/>
      <c r="W57" s="148" t="e">
        <f t="shared" si="13"/>
        <v>#REF!</v>
      </c>
      <c r="X57" s="148" t="e">
        <f t="shared" si="22"/>
        <v>#REF!</v>
      </c>
      <c r="Y57" s="148" t="e">
        <f t="shared" si="22"/>
        <v>#REF!</v>
      </c>
      <c r="Z57" s="148"/>
      <c r="AA57" s="148"/>
      <c r="AB57" s="148"/>
      <c r="AC57" s="148"/>
      <c r="AD57" s="148"/>
      <c r="AE57" s="150" t="e">
        <f t="shared" si="15"/>
        <v>#REF!</v>
      </c>
      <c r="AF57" s="154">
        <v>2</v>
      </c>
      <c r="AG57" s="159">
        <f t="shared" si="16"/>
        <v>4</v>
      </c>
      <c r="AH57" s="149">
        <f t="shared" si="17"/>
        <v>2</v>
      </c>
      <c r="AI57" s="149">
        <f t="shared" si="18"/>
        <v>0.66666666666666663</v>
      </c>
      <c r="AJ57" s="159">
        <v>1</v>
      </c>
      <c r="AK57" s="149"/>
      <c r="AL57" s="148"/>
      <c r="AM57" s="148"/>
      <c r="AN57" s="148"/>
      <c r="AO57" s="148"/>
      <c r="AP57" s="148"/>
      <c r="AQ57" s="148"/>
      <c r="AR57" s="148"/>
      <c r="AS57" s="148"/>
      <c r="AT57" s="148"/>
      <c r="AU57" s="150"/>
      <c r="AV57" s="154"/>
    </row>
    <row r="58" spans="1:48" ht="17.25" thickTop="1" thickBot="1" x14ac:dyDescent="0.3">
      <c r="A58" s="138" t="s">
        <v>169</v>
      </c>
      <c r="B58" s="153" t="s">
        <v>179</v>
      </c>
      <c r="C58" s="140" t="e">
        <f>'[1]Pop-Alvo-CNMenAfricVac por AS'!D64</f>
        <v>#REF!</v>
      </c>
      <c r="D58" s="141">
        <v>0.35916246370166588</v>
      </c>
      <c r="E58" s="141">
        <v>0.51291456518416623</v>
      </c>
      <c r="F58" s="141">
        <v>0.12792297111416778</v>
      </c>
      <c r="G58" s="142" t="e">
        <f t="shared" si="0"/>
        <v>#REF!</v>
      </c>
      <c r="H58" s="142" t="e">
        <f t="shared" si="1"/>
        <v>#REF!</v>
      </c>
      <c r="I58" s="142" t="e">
        <f t="shared" si="2"/>
        <v>#REF!</v>
      </c>
      <c r="J58" s="143" t="e">
        <f t="shared" si="7"/>
        <v>#REF!</v>
      </c>
      <c r="K58" s="143" t="e">
        <f t="shared" si="7"/>
        <v>#REF!</v>
      </c>
      <c r="L58" s="144" t="e">
        <f t="shared" si="7"/>
        <v>#REF!</v>
      </c>
      <c r="M58" s="145" t="e">
        <f t="shared" si="20"/>
        <v>#REF!</v>
      </c>
      <c r="N58" s="146" t="e">
        <f t="shared" si="8"/>
        <v>#REF!</v>
      </c>
      <c r="O58" s="146" t="e">
        <f t="shared" si="9"/>
        <v>#REF!</v>
      </c>
      <c r="P58" s="146" t="e">
        <f t="shared" si="10"/>
        <v>#REF!</v>
      </c>
      <c r="Q58" s="147" t="e">
        <f t="shared" si="11"/>
        <v>#REF!</v>
      </c>
      <c r="R58" s="148" t="e">
        <f t="shared" si="12"/>
        <v>#REF!</v>
      </c>
      <c r="S58" s="149" t="e">
        <f t="shared" si="21"/>
        <v>#REF!</v>
      </c>
      <c r="T58" s="149" t="e">
        <f t="shared" si="21"/>
        <v>#REF!</v>
      </c>
      <c r="U58" s="149" t="e">
        <f t="shared" si="5"/>
        <v>#REF!</v>
      </c>
      <c r="V58" s="148"/>
      <c r="W58" s="148" t="e">
        <f t="shared" si="13"/>
        <v>#REF!</v>
      </c>
      <c r="X58" s="148" t="e">
        <f t="shared" si="22"/>
        <v>#REF!</v>
      </c>
      <c r="Y58" s="148" t="e">
        <f t="shared" si="22"/>
        <v>#REF!</v>
      </c>
      <c r="Z58" s="148"/>
      <c r="AA58" s="148"/>
      <c r="AB58" s="148"/>
      <c r="AC58" s="148"/>
      <c r="AD58" s="148"/>
      <c r="AE58" s="150" t="e">
        <f t="shared" si="15"/>
        <v>#REF!</v>
      </c>
      <c r="AF58" s="154">
        <v>2</v>
      </c>
      <c r="AG58" s="159">
        <f t="shared" si="16"/>
        <v>4</v>
      </c>
      <c r="AH58" s="149">
        <f t="shared" si="17"/>
        <v>2</v>
      </c>
      <c r="AI58" s="149">
        <f t="shared" si="18"/>
        <v>0.66666666666666663</v>
      </c>
      <c r="AJ58" s="159">
        <v>1</v>
      </c>
      <c r="AK58" s="149"/>
      <c r="AL58" s="148"/>
      <c r="AM58" s="148"/>
      <c r="AN58" s="148"/>
      <c r="AO58" s="148"/>
      <c r="AP58" s="148"/>
      <c r="AQ58" s="148"/>
      <c r="AR58" s="148"/>
      <c r="AS58" s="148"/>
      <c r="AT58" s="148"/>
      <c r="AU58" s="150"/>
      <c r="AV58" s="154"/>
    </row>
    <row r="59" spans="1:48" ht="17.25" thickTop="1" thickBot="1" x14ac:dyDescent="0.3">
      <c r="A59" s="138" t="s">
        <v>169</v>
      </c>
      <c r="B59" s="153" t="s">
        <v>180</v>
      </c>
      <c r="C59" s="140" t="e">
        <f>'[1]Pop-Alvo-CNMenAfricVac por AS'!D65</f>
        <v>#REF!</v>
      </c>
      <c r="D59" s="141">
        <v>0.41690642553774482</v>
      </c>
      <c r="E59" s="141">
        <v>0.29247157144814362</v>
      </c>
      <c r="F59" s="141">
        <v>0.29062200301411151</v>
      </c>
      <c r="G59" s="142" t="e">
        <f t="shared" si="0"/>
        <v>#REF!</v>
      </c>
      <c r="H59" s="142" t="e">
        <f t="shared" si="1"/>
        <v>#REF!</v>
      </c>
      <c r="I59" s="142" t="e">
        <f t="shared" si="2"/>
        <v>#REF!</v>
      </c>
      <c r="J59" s="143" t="e">
        <f t="shared" si="7"/>
        <v>#REF!</v>
      </c>
      <c r="K59" s="143" t="e">
        <f t="shared" si="7"/>
        <v>#REF!</v>
      </c>
      <c r="L59" s="144" t="e">
        <f t="shared" si="7"/>
        <v>#REF!</v>
      </c>
      <c r="M59" s="145" t="e">
        <f t="shared" si="20"/>
        <v>#REF!</v>
      </c>
      <c r="N59" s="146" t="e">
        <f t="shared" si="8"/>
        <v>#REF!</v>
      </c>
      <c r="O59" s="146" t="e">
        <f t="shared" si="9"/>
        <v>#REF!</v>
      </c>
      <c r="P59" s="146" t="e">
        <f t="shared" si="10"/>
        <v>#REF!</v>
      </c>
      <c r="Q59" s="147" t="e">
        <f t="shared" si="11"/>
        <v>#REF!</v>
      </c>
      <c r="R59" s="148" t="e">
        <f t="shared" si="12"/>
        <v>#REF!</v>
      </c>
      <c r="S59" s="149" t="e">
        <f t="shared" si="21"/>
        <v>#REF!</v>
      </c>
      <c r="T59" s="149" t="e">
        <f t="shared" si="21"/>
        <v>#REF!</v>
      </c>
      <c r="U59" s="149" t="e">
        <f t="shared" si="5"/>
        <v>#REF!</v>
      </c>
      <c r="V59" s="148"/>
      <c r="W59" s="148" t="e">
        <f t="shared" si="13"/>
        <v>#REF!</v>
      </c>
      <c r="X59" s="148" t="e">
        <f t="shared" si="22"/>
        <v>#REF!</v>
      </c>
      <c r="Y59" s="148" t="e">
        <f t="shared" si="22"/>
        <v>#REF!</v>
      </c>
      <c r="Z59" s="148"/>
      <c r="AA59" s="148"/>
      <c r="AB59" s="148"/>
      <c r="AC59" s="148"/>
      <c r="AD59" s="148"/>
      <c r="AE59" s="150" t="e">
        <f t="shared" si="15"/>
        <v>#REF!</v>
      </c>
      <c r="AF59" s="154">
        <v>7</v>
      </c>
      <c r="AG59" s="159">
        <f t="shared" si="16"/>
        <v>14</v>
      </c>
      <c r="AH59" s="149">
        <f t="shared" si="17"/>
        <v>7</v>
      </c>
      <c r="AI59" s="149">
        <f t="shared" si="18"/>
        <v>2.3333333333333335</v>
      </c>
      <c r="AJ59" s="159">
        <v>2</v>
      </c>
      <c r="AK59" s="149"/>
      <c r="AL59" s="148"/>
      <c r="AM59" s="148"/>
      <c r="AN59" s="148"/>
      <c r="AO59" s="148"/>
      <c r="AP59" s="148"/>
      <c r="AQ59" s="148"/>
      <c r="AR59" s="148"/>
      <c r="AS59" s="148"/>
      <c r="AT59" s="148"/>
      <c r="AU59" s="150"/>
      <c r="AV59" s="154"/>
    </row>
    <row r="60" spans="1:48" ht="17.25" thickTop="1" thickBot="1" x14ac:dyDescent="0.3">
      <c r="A60" s="138" t="s">
        <v>169</v>
      </c>
      <c r="B60" s="153" t="s">
        <v>181</v>
      </c>
      <c r="C60" s="140" t="e">
        <f>'[1]Pop-Alvo-CNMenAfricVac por AS'!D66</f>
        <v>#REF!</v>
      </c>
      <c r="D60" s="141">
        <v>0.38080000000000008</v>
      </c>
      <c r="E60" s="141">
        <v>0.46453333333333335</v>
      </c>
      <c r="F60" s="141">
        <v>0.15466666666666667</v>
      </c>
      <c r="G60" s="142" t="e">
        <f t="shared" si="0"/>
        <v>#REF!</v>
      </c>
      <c r="H60" s="142" t="e">
        <f t="shared" si="1"/>
        <v>#REF!</v>
      </c>
      <c r="I60" s="142" t="e">
        <f t="shared" si="2"/>
        <v>#REF!</v>
      </c>
      <c r="J60" s="143" t="e">
        <f t="shared" si="7"/>
        <v>#REF!</v>
      </c>
      <c r="K60" s="143" t="e">
        <f t="shared" si="7"/>
        <v>#REF!</v>
      </c>
      <c r="L60" s="144" t="e">
        <f t="shared" si="7"/>
        <v>#REF!</v>
      </c>
      <c r="M60" s="145" t="e">
        <f t="shared" si="20"/>
        <v>#REF!</v>
      </c>
      <c r="N60" s="146" t="e">
        <f t="shared" si="8"/>
        <v>#REF!</v>
      </c>
      <c r="O60" s="146" t="e">
        <f t="shared" si="9"/>
        <v>#REF!</v>
      </c>
      <c r="P60" s="146" t="e">
        <f t="shared" si="10"/>
        <v>#REF!</v>
      </c>
      <c r="Q60" s="147" t="e">
        <f t="shared" si="11"/>
        <v>#REF!</v>
      </c>
      <c r="R60" s="148" t="e">
        <f t="shared" si="12"/>
        <v>#REF!</v>
      </c>
      <c r="S60" s="149" t="e">
        <f t="shared" si="21"/>
        <v>#REF!</v>
      </c>
      <c r="T60" s="149" t="e">
        <f t="shared" si="21"/>
        <v>#REF!</v>
      </c>
      <c r="U60" s="149" t="e">
        <f t="shared" si="5"/>
        <v>#REF!</v>
      </c>
      <c r="V60" s="148"/>
      <c r="W60" s="148" t="e">
        <f t="shared" si="13"/>
        <v>#REF!</v>
      </c>
      <c r="X60" s="148" t="e">
        <f t="shared" ref="X60:Y75" si="23">ROUND(IF(W60&lt;=15,W60,15),0)</f>
        <v>#REF!</v>
      </c>
      <c r="Y60" s="148" t="e">
        <f t="shared" si="23"/>
        <v>#REF!</v>
      </c>
      <c r="Z60" s="148"/>
      <c r="AA60" s="148"/>
      <c r="AB60" s="148"/>
      <c r="AC60" s="148"/>
      <c r="AD60" s="148"/>
      <c r="AE60" s="150" t="e">
        <f t="shared" si="15"/>
        <v>#REF!</v>
      </c>
      <c r="AF60" s="154">
        <v>1</v>
      </c>
      <c r="AG60" s="159">
        <f t="shared" si="16"/>
        <v>2</v>
      </c>
      <c r="AH60" s="149">
        <f t="shared" si="17"/>
        <v>1</v>
      </c>
      <c r="AI60" s="149">
        <f t="shared" si="18"/>
        <v>0.33333333333333331</v>
      </c>
      <c r="AJ60" s="159">
        <v>1</v>
      </c>
      <c r="AK60" s="149"/>
      <c r="AL60" s="148"/>
      <c r="AM60" s="148"/>
      <c r="AN60" s="148"/>
      <c r="AO60" s="148"/>
      <c r="AP60" s="148"/>
      <c r="AQ60" s="148"/>
      <c r="AR60" s="148"/>
      <c r="AS60" s="148"/>
      <c r="AT60" s="148"/>
      <c r="AU60" s="150"/>
      <c r="AV60" s="154"/>
    </row>
    <row r="61" spans="1:48" ht="17.25" thickTop="1" thickBot="1" x14ac:dyDescent="0.3">
      <c r="A61" s="138" t="s">
        <v>169</v>
      </c>
      <c r="B61" s="153" t="s">
        <v>182</v>
      </c>
      <c r="C61" s="140" t="e">
        <f>'[1]Pop-Alvo-CNMenAfricVac por AS'!D67</f>
        <v>#REF!</v>
      </c>
      <c r="D61" s="141">
        <v>0.50579252238020012</v>
      </c>
      <c r="E61" s="141">
        <v>0.25092153765139547</v>
      </c>
      <c r="F61" s="141">
        <v>0.24328593996840439</v>
      </c>
      <c r="G61" s="142" t="e">
        <f t="shared" si="0"/>
        <v>#REF!</v>
      </c>
      <c r="H61" s="142" t="e">
        <f t="shared" si="1"/>
        <v>#REF!</v>
      </c>
      <c r="I61" s="142" t="e">
        <f t="shared" si="2"/>
        <v>#REF!</v>
      </c>
      <c r="J61" s="143" t="e">
        <f t="shared" si="7"/>
        <v>#REF!</v>
      </c>
      <c r="K61" s="143" t="e">
        <f t="shared" si="7"/>
        <v>#REF!</v>
      </c>
      <c r="L61" s="144" t="e">
        <f t="shared" si="7"/>
        <v>#REF!</v>
      </c>
      <c r="M61" s="145" t="e">
        <f t="shared" si="20"/>
        <v>#REF!</v>
      </c>
      <c r="N61" s="146" t="e">
        <f t="shared" si="8"/>
        <v>#REF!</v>
      </c>
      <c r="O61" s="146" t="e">
        <f t="shared" si="9"/>
        <v>#REF!</v>
      </c>
      <c r="P61" s="146" t="e">
        <f t="shared" si="10"/>
        <v>#REF!</v>
      </c>
      <c r="Q61" s="147" t="e">
        <f t="shared" si="11"/>
        <v>#REF!</v>
      </c>
      <c r="R61" s="148" t="e">
        <f t="shared" si="12"/>
        <v>#REF!</v>
      </c>
      <c r="S61" s="149" t="e">
        <f t="shared" si="21"/>
        <v>#REF!</v>
      </c>
      <c r="T61" s="149" t="e">
        <f t="shared" si="21"/>
        <v>#REF!</v>
      </c>
      <c r="U61" s="149" t="e">
        <f t="shared" si="5"/>
        <v>#REF!</v>
      </c>
      <c r="V61" s="148"/>
      <c r="W61" s="148" t="e">
        <f t="shared" si="13"/>
        <v>#REF!</v>
      </c>
      <c r="X61" s="148" t="e">
        <f t="shared" si="23"/>
        <v>#REF!</v>
      </c>
      <c r="Y61" s="148" t="e">
        <f t="shared" si="23"/>
        <v>#REF!</v>
      </c>
      <c r="Z61" s="148"/>
      <c r="AA61" s="148"/>
      <c r="AB61" s="148"/>
      <c r="AC61" s="148"/>
      <c r="AD61" s="148"/>
      <c r="AE61" s="150" t="e">
        <f t="shared" si="15"/>
        <v>#REF!</v>
      </c>
      <c r="AF61" s="154">
        <v>2</v>
      </c>
      <c r="AG61" s="159">
        <f t="shared" si="16"/>
        <v>4</v>
      </c>
      <c r="AH61" s="149">
        <f t="shared" si="17"/>
        <v>2</v>
      </c>
      <c r="AI61" s="149">
        <f t="shared" si="18"/>
        <v>0.66666666666666663</v>
      </c>
      <c r="AJ61" s="159">
        <v>1</v>
      </c>
      <c r="AK61" s="149"/>
      <c r="AL61" s="148"/>
      <c r="AM61" s="148"/>
      <c r="AN61" s="148"/>
      <c r="AO61" s="148"/>
      <c r="AP61" s="148"/>
      <c r="AQ61" s="148"/>
      <c r="AR61" s="148"/>
      <c r="AS61" s="148"/>
      <c r="AT61" s="148"/>
      <c r="AU61" s="150"/>
      <c r="AV61" s="154"/>
    </row>
    <row r="62" spans="1:48" ht="17.25" thickTop="1" thickBot="1" x14ac:dyDescent="0.3">
      <c r="A62" s="138" t="s">
        <v>169</v>
      </c>
      <c r="B62" s="153" t="s">
        <v>183</v>
      </c>
      <c r="C62" s="140" t="e">
        <f>'[1]Pop-Alvo-CNMenAfricVac por AS'!D68</f>
        <v>#REF!</v>
      </c>
      <c r="D62" s="141">
        <v>0.18395846130531254</v>
      </c>
      <c r="E62" s="141">
        <v>0.2622676510855631</v>
      </c>
      <c r="F62" s="141">
        <v>0.55377388760912405</v>
      </c>
      <c r="G62" s="142" t="e">
        <f t="shared" si="0"/>
        <v>#REF!</v>
      </c>
      <c r="H62" s="142" t="e">
        <f t="shared" si="1"/>
        <v>#REF!</v>
      </c>
      <c r="I62" s="142" t="e">
        <f t="shared" si="2"/>
        <v>#REF!</v>
      </c>
      <c r="J62" s="143" t="e">
        <f t="shared" si="7"/>
        <v>#REF!</v>
      </c>
      <c r="K62" s="143" t="e">
        <f t="shared" si="7"/>
        <v>#REF!</v>
      </c>
      <c r="L62" s="144" t="e">
        <f t="shared" si="7"/>
        <v>#REF!</v>
      </c>
      <c r="M62" s="145" t="e">
        <f t="shared" si="20"/>
        <v>#REF!</v>
      </c>
      <c r="N62" s="146" t="e">
        <f t="shared" si="8"/>
        <v>#REF!</v>
      </c>
      <c r="O62" s="146" t="e">
        <f t="shared" si="9"/>
        <v>#REF!</v>
      </c>
      <c r="P62" s="146" t="e">
        <f t="shared" si="10"/>
        <v>#REF!</v>
      </c>
      <c r="Q62" s="147" t="e">
        <f t="shared" si="11"/>
        <v>#REF!</v>
      </c>
      <c r="R62" s="148" t="e">
        <f t="shared" si="12"/>
        <v>#REF!</v>
      </c>
      <c r="S62" s="149" t="e">
        <f t="shared" si="21"/>
        <v>#REF!</v>
      </c>
      <c r="T62" s="149" t="e">
        <f t="shared" si="21"/>
        <v>#REF!</v>
      </c>
      <c r="U62" s="149" t="e">
        <f t="shared" si="5"/>
        <v>#REF!</v>
      </c>
      <c r="V62" s="148"/>
      <c r="W62" s="148" t="e">
        <f t="shared" si="13"/>
        <v>#REF!</v>
      </c>
      <c r="X62" s="148" t="e">
        <f t="shared" si="23"/>
        <v>#REF!</v>
      </c>
      <c r="Y62" s="148" t="e">
        <f t="shared" si="23"/>
        <v>#REF!</v>
      </c>
      <c r="Z62" s="148"/>
      <c r="AA62" s="148"/>
      <c r="AB62" s="148"/>
      <c r="AC62" s="148"/>
      <c r="AD62" s="148"/>
      <c r="AE62" s="150" t="e">
        <f t="shared" si="15"/>
        <v>#REF!</v>
      </c>
      <c r="AF62" s="154">
        <v>3</v>
      </c>
      <c r="AG62" s="159">
        <f t="shared" si="16"/>
        <v>6</v>
      </c>
      <c r="AH62" s="149">
        <f t="shared" si="17"/>
        <v>3</v>
      </c>
      <c r="AI62" s="149">
        <f t="shared" si="18"/>
        <v>1</v>
      </c>
      <c r="AJ62" s="159">
        <v>1</v>
      </c>
      <c r="AK62" s="149"/>
      <c r="AL62" s="148"/>
      <c r="AM62" s="148"/>
      <c r="AN62" s="148"/>
      <c r="AO62" s="148"/>
      <c r="AP62" s="148"/>
      <c r="AQ62" s="148"/>
      <c r="AR62" s="148"/>
      <c r="AS62" s="148"/>
      <c r="AT62" s="148"/>
      <c r="AU62" s="150"/>
      <c r="AV62" s="154"/>
    </row>
    <row r="63" spans="1:48" ht="17.25" thickTop="1" thickBot="1" x14ac:dyDescent="0.3">
      <c r="A63" s="138" t="s">
        <v>169</v>
      </c>
      <c r="B63" s="153" t="s">
        <v>184</v>
      </c>
      <c r="C63" s="140" t="e">
        <f>'[1]Pop-Alvo-CNMenAfricVac por AS'!D69</f>
        <v>#REF!</v>
      </c>
      <c r="D63" s="141">
        <v>0.4937901016847398</v>
      </c>
      <c r="E63" s="141">
        <v>0.343101572173652</v>
      </c>
      <c r="F63" s="141">
        <v>0.16310832614160817</v>
      </c>
      <c r="G63" s="142" t="e">
        <f t="shared" si="0"/>
        <v>#REF!</v>
      </c>
      <c r="H63" s="142" t="e">
        <f t="shared" si="1"/>
        <v>#REF!</v>
      </c>
      <c r="I63" s="142" t="e">
        <f t="shared" si="2"/>
        <v>#REF!</v>
      </c>
      <c r="J63" s="143" t="e">
        <f t="shared" si="7"/>
        <v>#REF!</v>
      </c>
      <c r="K63" s="143" t="e">
        <f t="shared" si="7"/>
        <v>#REF!</v>
      </c>
      <c r="L63" s="144" t="e">
        <f t="shared" si="7"/>
        <v>#REF!</v>
      </c>
      <c r="M63" s="145" t="e">
        <f t="shared" si="20"/>
        <v>#REF!</v>
      </c>
      <c r="N63" s="146" t="e">
        <f t="shared" si="8"/>
        <v>#REF!</v>
      </c>
      <c r="O63" s="146" t="e">
        <f t="shared" si="9"/>
        <v>#REF!</v>
      </c>
      <c r="P63" s="146" t="e">
        <f t="shared" si="10"/>
        <v>#REF!</v>
      </c>
      <c r="Q63" s="147" t="e">
        <f t="shared" si="11"/>
        <v>#REF!</v>
      </c>
      <c r="R63" s="148" t="e">
        <f t="shared" si="12"/>
        <v>#REF!</v>
      </c>
      <c r="S63" s="149" t="e">
        <f t="shared" si="21"/>
        <v>#REF!</v>
      </c>
      <c r="T63" s="149" t="e">
        <f t="shared" si="21"/>
        <v>#REF!</v>
      </c>
      <c r="U63" s="149" t="e">
        <f t="shared" si="5"/>
        <v>#REF!</v>
      </c>
      <c r="V63" s="148"/>
      <c r="W63" s="148" t="e">
        <f t="shared" si="13"/>
        <v>#REF!</v>
      </c>
      <c r="X63" s="148" t="e">
        <f t="shared" si="23"/>
        <v>#REF!</v>
      </c>
      <c r="Y63" s="148" t="e">
        <f t="shared" si="23"/>
        <v>#REF!</v>
      </c>
      <c r="Z63" s="148"/>
      <c r="AA63" s="148"/>
      <c r="AB63" s="148"/>
      <c r="AC63" s="148"/>
      <c r="AD63" s="148"/>
      <c r="AE63" s="150" t="e">
        <f t="shared" si="15"/>
        <v>#REF!</v>
      </c>
      <c r="AF63" s="154">
        <v>8</v>
      </c>
      <c r="AG63" s="159">
        <f t="shared" si="16"/>
        <v>16</v>
      </c>
      <c r="AH63" s="149">
        <f t="shared" si="17"/>
        <v>8</v>
      </c>
      <c r="AI63" s="149">
        <f t="shared" si="18"/>
        <v>2.6666666666666665</v>
      </c>
      <c r="AJ63" s="159">
        <v>3</v>
      </c>
      <c r="AK63" s="149"/>
      <c r="AL63" s="148"/>
      <c r="AM63" s="148"/>
      <c r="AN63" s="148"/>
      <c r="AO63" s="148"/>
      <c r="AP63" s="148"/>
      <c r="AQ63" s="148"/>
      <c r="AR63" s="148"/>
      <c r="AS63" s="148"/>
      <c r="AT63" s="148"/>
      <c r="AU63" s="150"/>
      <c r="AV63" s="154"/>
    </row>
    <row r="64" spans="1:48" ht="17.25" thickTop="1" thickBot="1" x14ac:dyDescent="0.3">
      <c r="A64" s="138" t="s">
        <v>169</v>
      </c>
      <c r="B64" s="153" t="s">
        <v>185</v>
      </c>
      <c r="C64" s="140" t="e">
        <f>'[1]Pop-Alvo-CNMenAfricVac por AS'!D70</f>
        <v>#REF!</v>
      </c>
      <c r="D64" s="141">
        <v>0.20106268724210055</v>
      </c>
      <c r="E64" s="141">
        <v>0.76886552484314075</v>
      </c>
      <c r="F64" s="141">
        <v>3.0071787914758927E-2</v>
      </c>
      <c r="G64" s="142" t="e">
        <f t="shared" si="0"/>
        <v>#REF!</v>
      </c>
      <c r="H64" s="142" t="e">
        <f t="shared" si="1"/>
        <v>#REF!</v>
      </c>
      <c r="I64" s="142" t="e">
        <f t="shared" si="2"/>
        <v>#REF!</v>
      </c>
      <c r="J64" s="143" t="e">
        <f t="shared" si="7"/>
        <v>#REF!</v>
      </c>
      <c r="K64" s="143" t="e">
        <f t="shared" si="7"/>
        <v>#REF!</v>
      </c>
      <c r="L64" s="144" t="e">
        <f t="shared" si="7"/>
        <v>#REF!</v>
      </c>
      <c r="M64" s="145" t="e">
        <f t="shared" si="20"/>
        <v>#REF!</v>
      </c>
      <c r="N64" s="146" t="e">
        <f t="shared" si="8"/>
        <v>#REF!</v>
      </c>
      <c r="O64" s="146" t="e">
        <f t="shared" si="9"/>
        <v>#REF!</v>
      </c>
      <c r="P64" s="146" t="e">
        <f t="shared" si="10"/>
        <v>#REF!</v>
      </c>
      <c r="Q64" s="147" t="e">
        <f t="shared" si="11"/>
        <v>#REF!</v>
      </c>
      <c r="R64" s="148" t="e">
        <f t="shared" si="12"/>
        <v>#REF!</v>
      </c>
      <c r="S64" s="149" t="e">
        <f t="shared" si="21"/>
        <v>#REF!</v>
      </c>
      <c r="T64" s="149" t="e">
        <f t="shared" si="21"/>
        <v>#REF!</v>
      </c>
      <c r="U64" s="149" t="e">
        <f t="shared" si="5"/>
        <v>#REF!</v>
      </c>
      <c r="V64" s="148"/>
      <c r="W64" s="148" t="e">
        <f t="shared" si="13"/>
        <v>#REF!</v>
      </c>
      <c r="X64" s="148" t="e">
        <f t="shared" si="23"/>
        <v>#REF!</v>
      </c>
      <c r="Y64" s="148" t="e">
        <f t="shared" si="23"/>
        <v>#REF!</v>
      </c>
      <c r="Z64" s="148"/>
      <c r="AA64" s="148"/>
      <c r="AB64" s="148"/>
      <c r="AC64" s="148"/>
      <c r="AD64" s="148"/>
      <c r="AE64" s="150" t="e">
        <f t="shared" si="15"/>
        <v>#REF!</v>
      </c>
      <c r="AF64" s="154">
        <v>4</v>
      </c>
      <c r="AG64" s="159">
        <f t="shared" si="16"/>
        <v>8</v>
      </c>
      <c r="AH64" s="149">
        <f t="shared" si="17"/>
        <v>4</v>
      </c>
      <c r="AI64" s="149">
        <f t="shared" si="18"/>
        <v>1.3333333333333333</v>
      </c>
      <c r="AJ64" s="159">
        <v>1</v>
      </c>
      <c r="AK64" s="149"/>
      <c r="AL64" s="148"/>
      <c r="AM64" s="148"/>
      <c r="AN64" s="148"/>
      <c r="AO64" s="148"/>
      <c r="AP64" s="148"/>
      <c r="AQ64" s="148"/>
      <c r="AR64" s="148"/>
      <c r="AS64" s="148"/>
      <c r="AT64" s="148"/>
      <c r="AU64" s="150"/>
      <c r="AV64" s="154"/>
    </row>
    <row r="65" spans="1:48" ht="17.25" thickTop="1" thickBot="1" x14ac:dyDescent="0.3">
      <c r="A65" s="138" t="s">
        <v>169</v>
      </c>
      <c r="B65" s="153" t="s">
        <v>186</v>
      </c>
      <c r="C65" s="140" t="e">
        <f>'[1]Pop-Alvo-CNMenAfricVac por AS'!D71</f>
        <v>#REF!</v>
      </c>
      <c r="D65" s="141">
        <v>0.25654565158646475</v>
      </c>
      <c r="E65" s="141">
        <v>0.69338634054481885</v>
      </c>
      <c r="F65" s="141">
        <v>5.0068007868716319E-2</v>
      </c>
      <c r="G65" s="142" t="e">
        <f t="shared" si="0"/>
        <v>#REF!</v>
      </c>
      <c r="H65" s="142" t="e">
        <f t="shared" si="1"/>
        <v>#REF!</v>
      </c>
      <c r="I65" s="142" t="e">
        <f t="shared" si="2"/>
        <v>#REF!</v>
      </c>
      <c r="J65" s="143" t="e">
        <f t="shared" si="7"/>
        <v>#REF!</v>
      </c>
      <c r="K65" s="143" t="e">
        <f t="shared" si="7"/>
        <v>#REF!</v>
      </c>
      <c r="L65" s="144" t="e">
        <f t="shared" si="7"/>
        <v>#REF!</v>
      </c>
      <c r="M65" s="145" t="e">
        <f t="shared" si="20"/>
        <v>#REF!</v>
      </c>
      <c r="N65" s="146" t="e">
        <f t="shared" si="8"/>
        <v>#REF!</v>
      </c>
      <c r="O65" s="146" t="e">
        <f t="shared" si="9"/>
        <v>#REF!</v>
      </c>
      <c r="P65" s="146" t="e">
        <f t="shared" si="10"/>
        <v>#REF!</v>
      </c>
      <c r="Q65" s="147" t="e">
        <f t="shared" si="11"/>
        <v>#REF!</v>
      </c>
      <c r="R65" s="148" t="e">
        <f t="shared" si="12"/>
        <v>#REF!</v>
      </c>
      <c r="S65" s="149" t="e">
        <f t="shared" si="21"/>
        <v>#REF!</v>
      </c>
      <c r="T65" s="149" t="e">
        <f t="shared" si="21"/>
        <v>#REF!</v>
      </c>
      <c r="U65" s="149" t="e">
        <f t="shared" si="5"/>
        <v>#REF!</v>
      </c>
      <c r="V65" s="148"/>
      <c r="W65" s="148" t="e">
        <f t="shared" si="13"/>
        <v>#REF!</v>
      </c>
      <c r="X65" s="148" t="e">
        <f t="shared" si="23"/>
        <v>#REF!</v>
      </c>
      <c r="Y65" s="148" t="e">
        <f t="shared" si="23"/>
        <v>#REF!</v>
      </c>
      <c r="Z65" s="148"/>
      <c r="AA65" s="148"/>
      <c r="AB65" s="148"/>
      <c r="AC65" s="148"/>
      <c r="AD65" s="148"/>
      <c r="AE65" s="150" t="e">
        <f t="shared" si="15"/>
        <v>#REF!</v>
      </c>
      <c r="AF65" s="154">
        <v>3</v>
      </c>
      <c r="AG65" s="159">
        <f t="shared" si="16"/>
        <v>6</v>
      </c>
      <c r="AH65" s="149">
        <f t="shared" si="17"/>
        <v>3</v>
      </c>
      <c r="AI65" s="149">
        <f t="shared" si="18"/>
        <v>1</v>
      </c>
      <c r="AJ65" s="159">
        <v>1</v>
      </c>
      <c r="AK65" s="149"/>
      <c r="AL65" s="148"/>
      <c r="AM65" s="148"/>
      <c r="AN65" s="148"/>
      <c r="AO65" s="148"/>
      <c r="AP65" s="148"/>
      <c r="AQ65" s="148"/>
      <c r="AR65" s="148"/>
      <c r="AS65" s="148"/>
      <c r="AT65" s="148"/>
      <c r="AU65" s="150"/>
      <c r="AV65" s="154"/>
    </row>
    <row r="66" spans="1:48" ht="17.25" thickTop="1" thickBot="1" x14ac:dyDescent="0.3">
      <c r="A66" s="138" t="s">
        <v>169</v>
      </c>
      <c r="B66" s="153" t="s">
        <v>187</v>
      </c>
      <c r="C66" s="140" t="e">
        <f>'[1]Pop-Alvo-CNMenAfricVac por AS'!D72</f>
        <v>#REF!</v>
      </c>
      <c r="D66" s="141">
        <v>0.3055408036820676</v>
      </c>
      <c r="E66" s="141">
        <v>0.43618339529120204</v>
      </c>
      <c r="F66" s="141">
        <v>0.25827580102673042</v>
      </c>
      <c r="G66" s="142" t="e">
        <f t="shared" si="0"/>
        <v>#REF!</v>
      </c>
      <c r="H66" s="142" t="e">
        <f t="shared" si="1"/>
        <v>#REF!</v>
      </c>
      <c r="I66" s="142" t="e">
        <f t="shared" si="2"/>
        <v>#REF!</v>
      </c>
      <c r="J66" s="143" t="e">
        <f t="shared" si="7"/>
        <v>#REF!</v>
      </c>
      <c r="K66" s="143" t="e">
        <f t="shared" si="7"/>
        <v>#REF!</v>
      </c>
      <c r="L66" s="144" t="e">
        <f t="shared" si="7"/>
        <v>#REF!</v>
      </c>
      <c r="M66" s="145" t="e">
        <f t="shared" si="20"/>
        <v>#REF!</v>
      </c>
      <c r="N66" s="146" t="e">
        <f t="shared" si="8"/>
        <v>#REF!</v>
      </c>
      <c r="O66" s="146" t="e">
        <f t="shared" si="9"/>
        <v>#REF!</v>
      </c>
      <c r="P66" s="146" t="e">
        <f t="shared" si="10"/>
        <v>#REF!</v>
      </c>
      <c r="Q66" s="147" t="e">
        <f t="shared" si="11"/>
        <v>#REF!</v>
      </c>
      <c r="R66" s="148" t="e">
        <f t="shared" si="12"/>
        <v>#REF!</v>
      </c>
      <c r="S66" s="149" t="e">
        <f t="shared" si="21"/>
        <v>#REF!</v>
      </c>
      <c r="T66" s="149" t="e">
        <f t="shared" si="21"/>
        <v>#REF!</v>
      </c>
      <c r="U66" s="149" t="e">
        <f t="shared" si="5"/>
        <v>#REF!</v>
      </c>
      <c r="V66" s="148"/>
      <c r="W66" s="148" t="e">
        <f t="shared" si="13"/>
        <v>#REF!</v>
      </c>
      <c r="X66" s="148" t="e">
        <f t="shared" si="23"/>
        <v>#REF!</v>
      </c>
      <c r="Y66" s="148" t="e">
        <f t="shared" si="23"/>
        <v>#REF!</v>
      </c>
      <c r="Z66" s="148"/>
      <c r="AA66" s="148"/>
      <c r="AB66" s="148"/>
      <c r="AC66" s="148"/>
      <c r="AD66" s="148"/>
      <c r="AE66" s="150" t="e">
        <f t="shared" si="15"/>
        <v>#REF!</v>
      </c>
      <c r="AF66" s="154">
        <v>3</v>
      </c>
      <c r="AG66" s="159">
        <f t="shared" si="16"/>
        <v>6</v>
      </c>
      <c r="AH66" s="149">
        <f t="shared" si="17"/>
        <v>3</v>
      </c>
      <c r="AI66" s="149">
        <f t="shared" si="18"/>
        <v>1</v>
      </c>
      <c r="AJ66" s="159">
        <v>1</v>
      </c>
      <c r="AK66" s="149"/>
      <c r="AL66" s="148"/>
      <c r="AM66" s="148"/>
      <c r="AN66" s="148"/>
      <c r="AO66" s="148"/>
      <c r="AP66" s="148"/>
      <c r="AQ66" s="148"/>
      <c r="AR66" s="148"/>
      <c r="AS66" s="148"/>
      <c r="AT66" s="148"/>
      <c r="AU66" s="150"/>
      <c r="AV66" s="154"/>
    </row>
    <row r="67" spans="1:48" ht="17.25" thickTop="1" thickBot="1" x14ac:dyDescent="0.3">
      <c r="A67" s="138" t="s">
        <v>188</v>
      </c>
      <c r="B67" s="153" t="s">
        <v>189</v>
      </c>
      <c r="C67" s="140" t="e">
        <f>'[1]Pop-Alvo-CNMenAfricVac por AS'!D73</f>
        <v>#REF!</v>
      </c>
      <c r="D67" s="141">
        <v>0.13643685567010308</v>
      </c>
      <c r="E67" s="141">
        <v>0.86356314432989689</v>
      </c>
      <c r="F67" s="141">
        <v>0</v>
      </c>
      <c r="G67" s="142" t="e">
        <f t="shared" si="0"/>
        <v>#REF!</v>
      </c>
      <c r="H67" s="142" t="e">
        <f t="shared" si="1"/>
        <v>#REF!</v>
      </c>
      <c r="I67" s="142" t="e">
        <f t="shared" si="2"/>
        <v>#REF!</v>
      </c>
      <c r="J67" s="143" t="e">
        <f t="shared" si="7"/>
        <v>#REF!</v>
      </c>
      <c r="K67" s="143" t="e">
        <f t="shared" si="7"/>
        <v>#REF!</v>
      </c>
      <c r="L67" s="144" t="e">
        <f t="shared" si="7"/>
        <v>#REF!</v>
      </c>
      <c r="M67" s="145" t="e">
        <f t="shared" si="20"/>
        <v>#REF!</v>
      </c>
      <c r="N67" s="146" t="e">
        <f t="shared" si="8"/>
        <v>#REF!</v>
      </c>
      <c r="O67" s="146" t="e">
        <f t="shared" si="9"/>
        <v>#REF!</v>
      </c>
      <c r="P67" s="146" t="e">
        <f t="shared" si="10"/>
        <v>#REF!</v>
      </c>
      <c r="Q67" s="147" t="e">
        <f t="shared" si="11"/>
        <v>#REF!</v>
      </c>
      <c r="R67" s="148" t="e">
        <f t="shared" si="12"/>
        <v>#REF!</v>
      </c>
      <c r="S67" s="149" t="e">
        <f t="shared" si="21"/>
        <v>#REF!</v>
      </c>
      <c r="T67" s="149" t="e">
        <f t="shared" si="21"/>
        <v>#REF!</v>
      </c>
      <c r="U67" s="149" t="e">
        <f t="shared" si="5"/>
        <v>#REF!</v>
      </c>
      <c r="V67" s="148"/>
      <c r="W67" s="148" t="e">
        <f t="shared" si="13"/>
        <v>#REF!</v>
      </c>
      <c r="X67" s="148" t="e">
        <f t="shared" si="23"/>
        <v>#REF!</v>
      </c>
      <c r="Y67" s="148" t="e">
        <f t="shared" si="23"/>
        <v>#REF!</v>
      </c>
      <c r="Z67" s="148"/>
      <c r="AA67" s="148"/>
      <c r="AB67" s="148"/>
      <c r="AC67" s="148"/>
      <c r="AD67" s="148"/>
      <c r="AE67" s="150" t="e">
        <f t="shared" si="15"/>
        <v>#REF!</v>
      </c>
      <c r="AF67" s="154">
        <v>2</v>
      </c>
      <c r="AG67" s="161">
        <f t="shared" si="16"/>
        <v>4</v>
      </c>
      <c r="AH67" s="149">
        <f t="shared" si="17"/>
        <v>2</v>
      </c>
      <c r="AI67" s="149">
        <f t="shared" si="18"/>
        <v>0.66666666666666663</v>
      </c>
      <c r="AJ67" s="161">
        <v>1</v>
      </c>
      <c r="AK67" s="149"/>
      <c r="AL67" s="148"/>
      <c r="AM67" s="148"/>
      <c r="AN67" s="148"/>
      <c r="AO67" s="148"/>
      <c r="AP67" s="148"/>
      <c r="AQ67" s="148"/>
      <c r="AR67" s="148"/>
      <c r="AS67" s="148"/>
      <c r="AT67" s="148"/>
      <c r="AU67" s="150"/>
      <c r="AV67" s="154"/>
    </row>
    <row r="68" spans="1:48" ht="17.25" thickTop="1" thickBot="1" x14ac:dyDescent="0.3">
      <c r="A68" s="138" t="s">
        <v>188</v>
      </c>
      <c r="B68" s="153" t="s">
        <v>190</v>
      </c>
      <c r="C68" s="140" t="e">
        <f>'[1]Pop-Alvo-CNMenAfricVac por AS'!D74</f>
        <v>#REF!</v>
      </c>
      <c r="D68" s="141">
        <v>0.11001642036124795</v>
      </c>
      <c r="E68" s="141">
        <v>0.50647692027002367</v>
      </c>
      <c r="F68" s="141">
        <v>0.38350665936872835</v>
      </c>
      <c r="G68" s="142" t="e">
        <f t="shared" si="0"/>
        <v>#REF!</v>
      </c>
      <c r="H68" s="142" t="e">
        <f t="shared" si="1"/>
        <v>#REF!</v>
      </c>
      <c r="I68" s="142" t="e">
        <f t="shared" si="2"/>
        <v>#REF!</v>
      </c>
      <c r="J68" s="143" t="e">
        <f t="shared" si="7"/>
        <v>#REF!</v>
      </c>
      <c r="K68" s="143" t="e">
        <f t="shared" si="7"/>
        <v>#REF!</v>
      </c>
      <c r="L68" s="144" t="e">
        <f t="shared" si="7"/>
        <v>#REF!</v>
      </c>
      <c r="M68" s="145" t="e">
        <f t="shared" si="20"/>
        <v>#REF!</v>
      </c>
      <c r="N68" s="146" t="e">
        <f t="shared" si="8"/>
        <v>#REF!</v>
      </c>
      <c r="O68" s="146" t="e">
        <f t="shared" si="9"/>
        <v>#REF!</v>
      </c>
      <c r="P68" s="146" t="e">
        <f t="shared" si="10"/>
        <v>#REF!</v>
      </c>
      <c r="Q68" s="147" t="e">
        <f t="shared" si="11"/>
        <v>#REF!</v>
      </c>
      <c r="R68" s="148" t="e">
        <f t="shared" si="12"/>
        <v>#REF!</v>
      </c>
      <c r="S68" s="149" t="e">
        <f t="shared" si="21"/>
        <v>#REF!</v>
      </c>
      <c r="T68" s="149" t="e">
        <f t="shared" si="21"/>
        <v>#REF!</v>
      </c>
      <c r="U68" s="149" t="e">
        <f t="shared" si="5"/>
        <v>#REF!</v>
      </c>
      <c r="V68" s="148"/>
      <c r="W68" s="148" t="e">
        <f t="shared" si="13"/>
        <v>#REF!</v>
      </c>
      <c r="X68" s="148" t="e">
        <f t="shared" si="23"/>
        <v>#REF!</v>
      </c>
      <c r="Y68" s="148" t="e">
        <f t="shared" si="23"/>
        <v>#REF!</v>
      </c>
      <c r="Z68" s="148"/>
      <c r="AA68" s="148"/>
      <c r="AB68" s="148"/>
      <c r="AC68" s="148"/>
      <c r="AD68" s="148"/>
      <c r="AE68" s="150" t="e">
        <f t="shared" si="15"/>
        <v>#REF!</v>
      </c>
      <c r="AF68" s="154">
        <v>2</v>
      </c>
      <c r="AG68" s="161">
        <f t="shared" si="16"/>
        <v>4</v>
      </c>
      <c r="AH68" s="149">
        <f t="shared" si="17"/>
        <v>2</v>
      </c>
      <c r="AI68" s="149">
        <f t="shared" si="18"/>
        <v>0.66666666666666663</v>
      </c>
      <c r="AJ68" s="161">
        <v>1</v>
      </c>
      <c r="AK68" s="149"/>
      <c r="AL68" s="148"/>
      <c r="AM68" s="148"/>
      <c r="AN68" s="148"/>
      <c r="AO68" s="148"/>
      <c r="AP68" s="148"/>
      <c r="AQ68" s="148"/>
      <c r="AR68" s="148"/>
      <c r="AS68" s="148"/>
      <c r="AT68" s="148"/>
      <c r="AU68" s="150"/>
      <c r="AV68" s="154"/>
    </row>
    <row r="69" spans="1:48" ht="17.25" thickTop="1" thickBot="1" x14ac:dyDescent="0.3">
      <c r="A69" s="138" t="s">
        <v>188</v>
      </c>
      <c r="B69" s="153" t="s">
        <v>191</v>
      </c>
      <c r="C69" s="140" t="e">
        <f>'[1]Pop-Alvo-CNMenAfricVac por AS'!D75</f>
        <v>#REF!</v>
      </c>
      <c r="D69" s="141">
        <v>0.29588411941353115</v>
      </c>
      <c r="E69" s="141">
        <v>0.54142377671789432</v>
      </c>
      <c r="F69" s="141">
        <v>0.16269210386857447</v>
      </c>
      <c r="G69" s="142" t="e">
        <f t="shared" si="0"/>
        <v>#REF!</v>
      </c>
      <c r="H69" s="142" t="e">
        <f t="shared" si="1"/>
        <v>#REF!</v>
      </c>
      <c r="I69" s="142" t="e">
        <f t="shared" si="2"/>
        <v>#REF!</v>
      </c>
      <c r="J69" s="143" t="e">
        <f t="shared" si="7"/>
        <v>#REF!</v>
      </c>
      <c r="K69" s="143" t="e">
        <f t="shared" si="7"/>
        <v>#REF!</v>
      </c>
      <c r="L69" s="144" t="e">
        <f t="shared" si="7"/>
        <v>#REF!</v>
      </c>
      <c r="M69" s="145" t="e">
        <f t="shared" si="20"/>
        <v>#REF!</v>
      </c>
      <c r="N69" s="146" t="e">
        <f t="shared" si="8"/>
        <v>#REF!</v>
      </c>
      <c r="O69" s="146" t="e">
        <f t="shared" si="9"/>
        <v>#REF!</v>
      </c>
      <c r="P69" s="146" t="e">
        <f t="shared" si="10"/>
        <v>#REF!</v>
      </c>
      <c r="Q69" s="147" t="e">
        <f t="shared" si="11"/>
        <v>#REF!</v>
      </c>
      <c r="R69" s="148" t="e">
        <f t="shared" si="12"/>
        <v>#REF!</v>
      </c>
      <c r="S69" s="149" t="e">
        <f t="shared" si="21"/>
        <v>#REF!</v>
      </c>
      <c r="T69" s="149" t="e">
        <f t="shared" si="21"/>
        <v>#REF!</v>
      </c>
      <c r="U69" s="149" t="e">
        <f t="shared" si="5"/>
        <v>#REF!</v>
      </c>
      <c r="V69" s="148"/>
      <c r="W69" s="148" t="e">
        <f t="shared" si="13"/>
        <v>#REF!</v>
      </c>
      <c r="X69" s="148" t="e">
        <f t="shared" si="23"/>
        <v>#REF!</v>
      </c>
      <c r="Y69" s="148" t="e">
        <f t="shared" si="23"/>
        <v>#REF!</v>
      </c>
      <c r="Z69" s="148"/>
      <c r="AA69" s="148"/>
      <c r="AB69" s="148"/>
      <c r="AC69" s="148"/>
      <c r="AD69" s="148"/>
      <c r="AE69" s="150" t="e">
        <f t="shared" si="15"/>
        <v>#REF!</v>
      </c>
      <c r="AF69" s="154">
        <v>5</v>
      </c>
      <c r="AG69" s="161">
        <f t="shared" si="16"/>
        <v>10</v>
      </c>
      <c r="AH69" s="149">
        <f t="shared" si="17"/>
        <v>5</v>
      </c>
      <c r="AI69" s="149">
        <f t="shared" si="18"/>
        <v>1.6666666666666667</v>
      </c>
      <c r="AJ69" s="161">
        <v>2</v>
      </c>
      <c r="AK69" s="149"/>
      <c r="AL69" s="148"/>
      <c r="AM69" s="148"/>
      <c r="AN69" s="148"/>
      <c r="AO69" s="148"/>
      <c r="AP69" s="148"/>
      <c r="AQ69" s="148"/>
      <c r="AR69" s="148"/>
      <c r="AS69" s="148"/>
      <c r="AT69" s="148"/>
      <c r="AU69" s="150"/>
      <c r="AV69" s="154"/>
    </row>
    <row r="70" spans="1:48" ht="17.25" thickTop="1" thickBot="1" x14ac:dyDescent="0.3">
      <c r="A70" s="138" t="s">
        <v>188</v>
      </c>
      <c r="B70" s="153" t="s">
        <v>188</v>
      </c>
      <c r="C70" s="140" t="e">
        <f>'[1]Pop-Alvo-CNMenAfricVac por AS'!D76</f>
        <v>#REF!</v>
      </c>
      <c r="D70" s="141">
        <v>0.47457132128999957</v>
      </c>
      <c r="E70" s="141">
        <v>0.47010722182819475</v>
      </c>
      <c r="F70" s="141">
        <v>5.5321456881805668E-2</v>
      </c>
      <c r="G70" s="142" t="e">
        <f t="shared" si="0"/>
        <v>#REF!</v>
      </c>
      <c r="H70" s="142" t="e">
        <f t="shared" si="1"/>
        <v>#REF!</v>
      </c>
      <c r="I70" s="142" t="e">
        <f t="shared" si="2"/>
        <v>#REF!</v>
      </c>
      <c r="J70" s="143" t="e">
        <f t="shared" si="7"/>
        <v>#REF!</v>
      </c>
      <c r="K70" s="143" t="e">
        <f t="shared" si="7"/>
        <v>#REF!</v>
      </c>
      <c r="L70" s="144" t="e">
        <f t="shared" si="7"/>
        <v>#REF!</v>
      </c>
      <c r="M70" s="145" t="e">
        <f t="shared" si="20"/>
        <v>#REF!</v>
      </c>
      <c r="N70" s="146" t="e">
        <f t="shared" si="8"/>
        <v>#REF!</v>
      </c>
      <c r="O70" s="146" t="e">
        <f t="shared" si="9"/>
        <v>#REF!</v>
      </c>
      <c r="P70" s="146" t="e">
        <f t="shared" si="10"/>
        <v>#REF!</v>
      </c>
      <c r="Q70" s="147" t="e">
        <f t="shared" si="11"/>
        <v>#REF!</v>
      </c>
      <c r="R70" s="148" t="e">
        <f t="shared" si="12"/>
        <v>#REF!</v>
      </c>
      <c r="S70" s="149" t="e">
        <f t="shared" si="21"/>
        <v>#REF!</v>
      </c>
      <c r="T70" s="149" t="e">
        <f t="shared" si="21"/>
        <v>#REF!</v>
      </c>
      <c r="U70" s="149" t="e">
        <f t="shared" si="5"/>
        <v>#REF!</v>
      </c>
      <c r="V70" s="148"/>
      <c r="W70" s="148" t="e">
        <f t="shared" si="13"/>
        <v>#REF!</v>
      </c>
      <c r="X70" s="148" t="e">
        <f t="shared" si="23"/>
        <v>#REF!</v>
      </c>
      <c r="Y70" s="148" t="e">
        <f t="shared" si="23"/>
        <v>#REF!</v>
      </c>
      <c r="Z70" s="148"/>
      <c r="AA70" s="148"/>
      <c r="AB70" s="148"/>
      <c r="AC70" s="148"/>
      <c r="AD70" s="148"/>
      <c r="AE70" s="150" t="e">
        <f t="shared" si="15"/>
        <v>#REF!</v>
      </c>
      <c r="AF70" s="154">
        <v>10</v>
      </c>
      <c r="AG70" s="161">
        <f t="shared" si="16"/>
        <v>20</v>
      </c>
      <c r="AH70" s="149">
        <f t="shared" si="17"/>
        <v>10</v>
      </c>
      <c r="AI70" s="149">
        <f t="shared" si="18"/>
        <v>3.3333333333333335</v>
      </c>
      <c r="AJ70" s="161">
        <v>3</v>
      </c>
      <c r="AK70" s="149">
        <v>3</v>
      </c>
      <c r="AL70" s="148"/>
      <c r="AM70" s="148"/>
      <c r="AN70" s="148"/>
      <c r="AO70" s="148"/>
      <c r="AP70" s="148"/>
      <c r="AQ70" s="148"/>
      <c r="AR70" s="148"/>
      <c r="AS70" s="148"/>
      <c r="AT70" s="148"/>
      <c r="AU70" s="150"/>
      <c r="AV70" s="154"/>
    </row>
    <row r="71" spans="1:48" ht="17.25" thickTop="1" thickBot="1" x14ac:dyDescent="0.3">
      <c r="A71" s="138" t="s">
        <v>188</v>
      </c>
      <c r="B71" s="153" t="s">
        <v>192</v>
      </c>
      <c r="C71" s="140" t="e">
        <f>'[1]Pop-Alvo-CNMenAfricVac por AS'!D77</f>
        <v>#REF!</v>
      </c>
      <c r="D71" s="141">
        <v>0.47309359857179289</v>
      </c>
      <c r="E71" s="141">
        <v>0.46518745218056617</v>
      </c>
      <c r="F71" s="141">
        <v>6.171894924764091E-2</v>
      </c>
      <c r="G71" s="142" t="e">
        <f t="shared" si="0"/>
        <v>#REF!</v>
      </c>
      <c r="H71" s="142" t="e">
        <f t="shared" si="1"/>
        <v>#REF!</v>
      </c>
      <c r="I71" s="142" t="e">
        <f t="shared" si="2"/>
        <v>#REF!</v>
      </c>
      <c r="J71" s="143" t="e">
        <f t="shared" si="7"/>
        <v>#REF!</v>
      </c>
      <c r="K71" s="143" t="e">
        <f t="shared" si="7"/>
        <v>#REF!</v>
      </c>
      <c r="L71" s="144" t="e">
        <f t="shared" si="7"/>
        <v>#REF!</v>
      </c>
      <c r="M71" s="145" t="e">
        <f t="shared" si="20"/>
        <v>#REF!</v>
      </c>
      <c r="N71" s="146" t="e">
        <f t="shared" si="8"/>
        <v>#REF!</v>
      </c>
      <c r="O71" s="146" t="e">
        <f t="shared" si="9"/>
        <v>#REF!</v>
      </c>
      <c r="P71" s="146" t="e">
        <f t="shared" si="10"/>
        <v>#REF!</v>
      </c>
      <c r="Q71" s="147" t="e">
        <f t="shared" si="11"/>
        <v>#REF!</v>
      </c>
      <c r="R71" s="148" t="e">
        <f t="shared" si="12"/>
        <v>#REF!</v>
      </c>
      <c r="S71" s="149" t="e">
        <f t="shared" si="21"/>
        <v>#REF!</v>
      </c>
      <c r="T71" s="149" t="e">
        <f t="shared" si="21"/>
        <v>#REF!</v>
      </c>
      <c r="U71" s="149" t="e">
        <f t="shared" si="5"/>
        <v>#REF!</v>
      </c>
      <c r="V71" s="148"/>
      <c r="W71" s="148" t="e">
        <f t="shared" si="13"/>
        <v>#REF!</v>
      </c>
      <c r="X71" s="148" t="e">
        <f t="shared" si="23"/>
        <v>#REF!</v>
      </c>
      <c r="Y71" s="148" t="e">
        <f t="shared" si="23"/>
        <v>#REF!</v>
      </c>
      <c r="Z71" s="148"/>
      <c r="AA71" s="148"/>
      <c r="AB71" s="148"/>
      <c r="AC71" s="148"/>
      <c r="AD71" s="148"/>
      <c r="AE71" s="150" t="e">
        <f t="shared" si="15"/>
        <v>#REF!</v>
      </c>
      <c r="AF71" s="154">
        <v>2</v>
      </c>
      <c r="AG71" s="161">
        <f t="shared" si="16"/>
        <v>4</v>
      </c>
      <c r="AH71" s="149">
        <f t="shared" si="17"/>
        <v>2</v>
      </c>
      <c r="AI71" s="149">
        <f t="shared" si="18"/>
        <v>0.66666666666666663</v>
      </c>
      <c r="AJ71" s="161">
        <v>1</v>
      </c>
      <c r="AK71" s="149"/>
      <c r="AL71" s="148"/>
      <c r="AM71" s="148"/>
      <c r="AN71" s="148"/>
      <c r="AO71" s="148"/>
      <c r="AP71" s="148"/>
      <c r="AQ71" s="148"/>
      <c r="AR71" s="148"/>
      <c r="AS71" s="148"/>
      <c r="AT71" s="148"/>
      <c r="AU71" s="150"/>
      <c r="AV71" s="154"/>
    </row>
    <row r="72" spans="1:48" ht="17.25" thickTop="1" thickBot="1" x14ac:dyDescent="0.3">
      <c r="A72" s="138" t="s">
        <v>193</v>
      </c>
      <c r="B72" s="153" t="s">
        <v>194</v>
      </c>
      <c r="C72" s="140" t="e">
        <f>'[1]Pop-Alvo-CNMenAfricVac por AS'!D78</f>
        <v>#REF!</v>
      </c>
      <c r="D72" s="141">
        <v>0.47766140792788014</v>
      </c>
      <c r="E72" s="141">
        <v>0.15842502982898052</v>
      </c>
      <c r="F72" s="141">
        <v>0.36391356224313931</v>
      </c>
      <c r="G72" s="142" t="e">
        <f t="shared" si="0"/>
        <v>#REF!</v>
      </c>
      <c r="H72" s="142" t="e">
        <f t="shared" si="1"/>
        <v>#REF!</v>
      </c>
      <c r="I72" s="142" t="e">
        <f t="shared" si="2"/>
        <v>#REF!</v>
      </c>
      <c r="J72" s="143" t="e">
        <f t="shared" si="7"/>
        <v>#REF!</v>
      </c>
      <c r="K72" s="143" t="e">
        <f t="shared" si="7"/>
        <v>#REF!</v>
      </c>
      <c r="L72" s="144" t="e">
        <f t="shared" si="7"/>
        <v>#REF!</v>
      </c>
      <c r="M72" s="145" t="e">
        <f t="shared" si="20"/>
        <v>#REF!</v>
      </c>
      <c r="N72" s="146" t="e">
        <f t="shared" si="8"/>
        <v>#REF!</v>
      </c>
      <c r="O72" s="146" t="e">
        <f t="shared" si="9"/>
        <v>#REF!</v>
      </c>
      <c r="P72" s="146" t="e">
        <f t="shared" si="10"/>
        <v>#REF!</v>
      </c>
      <c r="Q72" s="147" t="e">
        <f t="shared" si="11"/>
        <v>#REF!</v>
      </c>
      <c r="R72" s="148" t="e">
        <f t="shared" si="12"/>
        <v>#REF!</v>
      </c>
      <c r="S72" s="149" t="e">
        <f t="shared" si="21"/>
        <v>#REF!</v>
      </c>
      <c r="T72" s="149" t="e">
        <f t="shared" si="21"/>
        <v>#REF!</v>
      </c>
      <c r="U72" s="149" t="e">
        <f t="shared" si="5"/>
        <v>#REF!</v>
      </c>
      <c r="V72" s="148"/>
      <c r="W72" s="148" t="e">
        <f t="shared" si="13"/>
        <v>#REF!</v>
      </c>
      <c r="X72" s="148" t="e">
        <f t="shared" si="23"/>
        <v>#REF!</v>
      </c>
      <c r="Y72" s="148" t="e">
        <f t="shared" si="23"/>
        <v>#REF!</v>
      </c>
      <c r="Z72" s="148"/>
      <c r="AA72" s="148"/>
      <c r="AB72" s="148"/>
      <c r="AC72" s="148"/>
      <c r="AD72" s="148"/>
      <c r="AE72" s="150" t="e">
        <f t="shared" si="15"/>
        <v>#REF!</v>
      </c>
      <c r="AF72" s="154">
        <v>2</v>
      </c>
      <c r="AG72" s="162">
        <f t="shared" si="16"/>
        <v>4</v>
      </c>
      <c r="AH72" s="149">
        <f t="shared" si="17"/>
        <v>2</v>
      </c>
      <c r="AI72" s="149">
        <f t="shared" si="18"/>
        <v>0.66666666666666663</v>
      </c>
      <c r="AJ72" s="162">
        <v>1</v>
      </c>
      <c r="AK72" s="149"/>
      <c r="AL72" s="148"/>
      <c r="AM72" s="148"/>
      <c r="AN72" s="148"/>
      <c r="AO72" s="148"/>
      <c r="AP72" s="148"/>
      <c r="AQ72" s="148"/>
      <c r="AR72" s="148"/>
      <c r="AS72" s="148"/>
      <c r="AT72" s="148"/>
      <c r="AU72" s="150"/>
      <c r="AV72" s="154"/>
    </row>
    <row r="73" spans="1:48" ht="17.25" thickTop="1" thickBot="1" x14ac:dyDescent="0.3">
      <c r="A73" s="138" t="s">
        <v>193</v>
      </c>
      <c r="B73" s="153" t="s">
        <v>195</v>
      </c>
      <c r="C73" s="140" t="e">
        <f>'[1]Pop-Alvo-CNMenAfricVac por AS'!D79</f>
        <v>#REF!</v>
      </c>
      <c r="D73" s="141">
        <v>1.4266304347826086E-2</v>
      </c>
      <c r="E73" s="141">
        <v>0.22724184782608695</v>
      </c>
      <c r="F73" s="141">
        <v>0.75849184782608692</v>
      </c>
      <c r="G73" s="142" t="e">
        <f t="shared" si="0"/>
        <v>#REF!</v>
      </c>
      <c r="H73" s="142" t="e">
        <f t="shared" si="1"/>
        <v>#REF!</v>
      </c>
      <c r="I73" s="142" t="e">
        <f t="shared" si="2"/>
        <v>#REF!</v>
      </c>
      <c r="J73" s="143" t="e">
        <f t="shared" si="7"/>
        <v>#REF!</v>
      </c>
      <c r="K73" s="143" t="e">
        <f t="shared" si="7"/>
        <v>#REF!</v>
      </c>
      <c r="L73" s="144" t="e">
        <f t="shared" si="7"/>
        <v>#REF!</v>
      </c>
      <c r="M73" s="145" t="e">
        <f t="shared" si="20"/>
        <v>#REF!</v>
      </c>
      <c r="N73" s="146" t="e">
        <f t="shared" si="8"/>
        <v>#REF!</v>
      </c>
      <c r="O73" s="146" t="e">
        <f t="shared" si="9"/>
        <v>#REF!</v>
      </c>
      <c r="P73" s="146" t="e">
        <f t="shared" si="10"/>
        <v>#REF!</v>
      </c>
      <c r="Q73" s="147" t="e">
        <f t="shared" si="11"/>
        <v>#REF!</v>
      </c>
      <c r="R73" s="148" t="e">
        <f t="shared" si="12"/>
        <v>#REF!</v>
      </c>
      <c r="S73" s="149" t="e">
        <f t="shared" si="21"/>
        <v>#REF!</v>
      </c>
      <c r="T73" s="149" t="e">
        <f t="shared" si="21"/>
        <v>#REF!</v>
      </c>
      <c r="U73" s="149" t="e">
        <f t="shared" si="5"/>
        <v>#REF!</v>
      </c>
      <c r="V73" s="148"/>
      <c r="W73" s="148" t="e">
        <f t="shared" si="13"/>
        <v>#REF!</v>
      </c>
      <c r="X73" s="148" t="e">
        <f t="shared" si="23"/>
        <v>#REF!</v>
      </c>
      <c r="Y73" s="148" t="e">
        <f t="shared" si="23"/>
        <v>#REF!</v>
      </c>
      <c r="Z73" s="148"/>
      <c r="AA73" s="148"/>
      <c r="AB73" s="148"/>
      <c r="AC73" s="148"/>
      <c r="AD73" s="148"/>
      <c r="AE73" s="150" t="e">
        <f t="shared" si="15"/>
        <v>#REF!</v>
      </c>
      <c r="AF73" s="154">
        <v>2</v>
      </c>
      <c r="AG73" s="162">
        <f t="shared" si="16"/>
        <v>4</v>
      </c>
      <c r="AH73" s="149">
        <f t="shared" si="17"/>
        <v>2</v>
      </c>
      <c r="AI73" s="149">
        <f t="shared" si="18"/>
        <v>0.66666666666666663</v>
      </c>
      <c r="AJ73" s="162">
        <v>1</v>
      </c>
      <c r="AK73" s="149"/>
      <c r="AL73" s="148"/>
      <c r="AM73" s="148"/>
      <c r="AN73" s="148"/>
      <c r="AO73" s="148"/>
      <c r="AP73" s="148"/>
      <c r="AQ73" s="148"/>
      <c r="AR73" s="148"/>
      <c r="AS73" s="148"/>
      <c r="AT73" s="148"/>
      <c r="AU73" s="150"/>
      <c r="AV73" s="154"/>
    </row>
    <row r="74" spans="1:48" ht="17.25" thickTop="1" thickBot="1" x14ac:dyDescent="0.3">
      <c r="A74" s="138" t="s">
        <v>193</v>
      </c>
      <c r="B74" s="153" t="s">
        <v>196</v>
      </c>
      <c r="C74" s="140" t="e">
        <f>'[1]Pop-Alvo-CNMenAfricVac por AS'!D80</f>
        <v>#REF!</v>
      </c>
      <c r="D74" s="141">
        <v>0.20125045306270387</v>
      </c>
      <c r="E74" s="141">
        <v>0.53126132656759695</v>
      </c>
      <c r="F74" s="141">
        <v>0.26748822036969916</v>
      </c>
      <c r="G74" s="142" t="e">
        <f t="shared" si="0"/>
        <v>#REF!</v>
      </c>
      <c r="H74" s="142" t="e">
        <f t="shared" si="1"/>
        <v>#REF!</v>
      </c>
      <c r="I74" s="142" t="e">
        <f t="shared" si="2"/>
        <v>#REF!</v>
      </c>
      <c r="J74" s="143" t="e">
        <f t="shared" si="7"/>
        <v>#REF!</v>
      </c>
      <c r="K74" s="143" t="e">
        <f t="shared" si="7"/>
        <v>#REF!</v>
      </c>
      <c r="L74" s="144" t="e">
        <f t="shared" si="7"/>
        <v>#REF!</v>
      </c>
      <c r="M74" s="145" t="e">
        <f t="shared" si="20"/>
        <v>#REF!</v>
      </c>
      <c r="N74" s="146" t="e">
        <f t="shared" si="8"/>
        <v>#REF!</v>
      </c>
      <c r="O74" s="146" t="e">
        <f t="shared" si="9"/>
        <v>#REF!</v>
      </c>
      <c r="P74" s="146" t="e">
        <f t="shared" si="10"/>
        <v>#REF!</v>
      </c>
      <c r="Q74" s="147" t="e">
        <f t="shared" si="11"/>
        <v>#REF!</v>
      </c>
      <c r="R74" s="148" t="e">
        <f t="shared" si="12"/>
        <v>#REF!</v>
      </c>
      <c r="S74" s="149" t="e">
        <f t="shared" si="21"/>
        <v>#REF!</v>
      </c>
      <c r="T74" s="149" t="e">
        <f t="shared" si="21"/>
        <v>#REF!</v>
      </c>
      <c r="U74" s="149" t="e">
        <f t="shared" si="5"/>
        <v>#REF!</v>
      </c>
      <c r="V74" s="148"/>
      <c r="W74" s="148" t="e">
        <f t="shared" si="13"/>
        <v>#REF!</v>
      </c>
      <c r="X74" s="148" t="e">
        <f t="shared" si="23"/>
        <v>#REF!</v>
      </c>
      <c r="Y74" s="148" t="e">
        <f t="shared" si="23"/>
        <v>#REF!</v>
      </c>
      <c r="Z74" s="148"/>
      <c r="AA74" s="148"/>
      <c r="AB74" s="148"/>
      <c r="AC74" s="148"/>
      <c r="AD74" s="148"/>
      <c r="AE74" s="150" t="e">
        <f t="shared" si="15"/>
        <v>#REF!</v>
      </c>
      <c r="AF74" s="154">
        <v>3</v>
      </c>
      <c r="AG74" s="162">
        <f t="shared" si="16"/>
        <v>6</v>
      </c>
      <c r="AH74" s="149">
        <f t="shared" si="17"/>
        <v>3</v>
      </c>
      <c r="AI74" s="149">
        <f t="shared" si="18"/>
        <v>1</v>
      </c>
      <c r="AJ74" s="162">
        <v>1</v>
      </c>
      <c r="AK74" s="149"/>
      <c r="AL74" s="148"/>
      <c r="AM74" s="148"/>
      <c r="AN74" s="148"/>
      <c r="AO74" s="148"/>
      <c r="AP74" s="148"/>
      <c r="AQ74" s="148"/>
      <c r="AR74" s="148"/>
      <c r="AS74" s="148"/>
      <c r="AT74" s="148"/>
      <c r="AU74" s="150"/>
      <c r="AV74" s="154"/>
    </row>
    <row r="75" spans="1:48" ht="17.25" thickTop="1" thickBot="1" x14ac:dyDescent="0.3">
      <c r="A75" s="138" t="s">
        <v>193</v>
      </c>
      <c r="B75" s="153" t="s">
        <v>197</v>
      </c>
      <c r="C75" s="140" t="e">
        <f>'[1]Pop-Alvo-CNMenAfricVac por AS'!D81</f>
        <v>#REF!</v>
      </c>
      <c r="D75" s="141">
        <v>0.26192060323796851</v>
      </c>
      <c r="E75" s="141">
        <v>0.37214459968950986</v>
      </c>
      <c r="F75" s="141">
        <v>0.36593479707252163</v>
      </c>
      <c r="G75" s="142" t="e">
        <f t="shared" si="0"/>
        <v>#REF!</v>
      </c>
      <c r="H75" s="142" t="e">
        <f t="shared" si="1"/>
        <v>#REF!</v>
      </c>
      <c r="I75" s="142" t="e">
        <f t="shared" si="2"/>
        <v>#REF!</v>
      </c>
      <c r="J75" s="143" t="e">
        <f t="shared" si="7"/>
        <v>#REF!</v>
      </c>
      <c r="K75" s="143" t="e">
        <f t="shared" si="7"/>
        <v>#REF!</v>
      </c>
      <c r="L75" s="144" t="e">
        <f t="shared" si="7"/>
        <v>#REF!</v>
      </c>
      <c r="M75" s="145" t="e">
        <f t="shared" si="20"/>
        <v>#REF!</v>
      </c>
      <c r="N75" s="146" t="e">
        <f t="shared" si="8"/>
        <v>#REF!</v>
      </c>
      <c r="O75" s="146" t="e">
        <f t="shared" si="9"/>
        <v>#REF!</v>
      </c>
      <c r="P75" s="146" t="e">
        <f t="shared" si="10"/>
        <v>#REF!</v>
      </c>
      <c r="Q75" s="147" t="e">
        <f t="shared" si="11"/>
        <v>#REF!</v>
      </c>
      <c r="R75" s="148" t="e">
        <f t="shared" si="12"/>
        <v>#REF!</v>
      </c>
      <c r="S75" s="149" t="e">
        <f t="shared" si="21"/>
        <v>#REF!</v>
      </c>
      <c r="T75" s="149" t="e">
        <f t="shared" si="21"/>
        <v>#REF!</v>
      </c>
      <c r="U75" s="149" t="e">
        <f t="shared" si="5"/>
        <v>#REF!</v>
      </c>
      <c r="V75" s="148"/>
      <c r="W75" s="148" t="e">
        <f t="shared" si="13"/>
        <v>#REF!</v>
      </c>
      <c r="X75" s="148" t="e">
        <f t="shared" si="23"/>
        <v>#REF!</v>
      </c>
      <c r="Y75" s="148" t="e">
        <f t="shared" si="23"/>
        <v>#REF!</v>
      </c>
      <c r="Z75" s="148"/>
      <c r="AA75" s="148"/>
      <c r="AB75" s="148"/>
      <c r="AC75" s="148"/>
      <c r="AD75" s="148"/>
      <c r="AE75" s="150" t="e">
        <f t="shared" si="15"/>
        <v>#REF!</v>
      </c>
      <c r="AF75" s="154">
        <v>2</v>
      </c>
      <c r="AG75" s="162">
        <f t="shared" si="16"/>
        <v>4</v>
      </c>
      <c r="AH75" s="149">
        <f t="shared" si="17"/>
        <v>2</v>
      </c>
      <c r="AI75" s="149">
        <f t="shared" si="18"/>
        <v>0.66666666666666663</v>
      </c>
      <c r="AJ75" s="162">
        <v>1</v>
      </c>
      <c r="AK75" s="149"/>
      <c r="AL75" s="148"/>
      <c r="AM75" s="148"/>
      <c r="AN75" s="148"/>
      <c r="AO75" s="148"/>
      <c r="AP75" s="148"/>
      <c r="AQ75" s="148"/>
      <c r="AR75" s="148"/>
      <c r="AS75" s="148"/>
      <c r="AT75" s="148"/>
      <c r="AU75" s="150"/>
      <c r="AV75" s="154"/>
    </row>
    <row r="76" spans="1:48" ht="17.25" thickTop="1" thickBot="1" x14ac:dyDescent="0.3">
      <c r="A76" s="138" t="s">
        <v>193</v>
      </c>
      <c r="B76" s="153" t="s">
        <v>198</v>
      </c>
      <c r="C76" s="140" t="e">
        <f>'[1]Pop-Alvo-CNMenAfricVac por AS'!D82</f>
        <v>#REF!</v>
      </c>
      <c r="D76" s="141">
        <v>0.28598546228992083</v>
      </c>
      <c r="E76" s="141">
        <v>0.68392055187740175</v>
      </c>
      <c r="F76" s="141">
        <v>3.0093985832677438E-2</v>
      </c>
      <c r="G76" s="142" t="e">
        <f t="shared" ref="G76:G128" si="24">C76*D76</f>
        <v>#REF!</v>
      </c>
      <c r="H76" s="142" t="e">
        <f t="shared" ref="H76:H128" si="25">C76*E76</f>
        <v>#REF!</v>
      </c>
      <c r="I76" s="142" t="e">
        <f t="shared" ref="I76:I128" si="26">C76*F76</f>
        <v>#REF!</v>
      </c>
      <c r="J76" s="143" t="e">
        <f t="shared" si="7"/>
        <v>#REF!</v>
      </c>
      <c r="K76" s="143" t="e">
        <f t="shared" si="7"/>
        <v>#REF!</v>
      </c>
      <c r="L76" s="144" t="e">
        <f t="shared" si="7"/>
        <v>#REF!</v>
      </c>
      <c r="M76" s="145" t="e">
        <f t="shared" si="20"/>
        <v>#REF!</v>
      </c>
      <c r="N76" s="146" t="e">
        <f t="shared" si="8"/>
        <v>#REF!</v>
      </c>
      <c r="O76" s="146" t="e">
        <f t="shared" si="9"/>
        <v>#REF!</v>
      </c>
      <c r="P76" s="146" t="e">
        <f t="shared" si="10"/>
        <v>#REF!</v>
      </c>
      <c r="Q76" s="147" t="e">
        <f t="shared" si="11"/>
        <v>#REF!</v>
      </c>
      <c r="R76" s="148" t="e">
        <f t="shared" si="12"/>
        <v>#REF!</v>
      </c>
      <c r="S76" s="149" t="e">
        <f t="shared" ref="S76:T107" si="27">N76/100</f>
        <v>#REF!</v>
      </c>
      <c r="T76" s="149" t="e">
        <f t="shared" si="27"/>
        <v>#REF!</v>
      </c>
      <c r="U76" s="149" t="e">
        <f t="shared" ref="U76:U128" si="28">P76/50</f>
        <v>#REF!</v>
      </c>
      <c r="V76" s="148"/>
      <c r="W76" s="148" t="e">
        <f t="shared" si="13"/>
        <v>#REF!</v>
      </c>
      <c r="X76" s="148" t="e">
        <f t="shared" ref="X76:Y91" si="29">ROUND(IF(W76&lt;=15,W76,15),0)</f>
        <v>#REF!</v>
      </c>
      <c r="Y76" s="148" t="e">
        <f t="shared" si="29"/>
        <v>#REF!</v>
      </c>
      <c r="Z76" s="148"/>
      <c r="AA76" s="148"/>
      <c r="AB76" s="148"/>
      <c r="AC76" s="148"/>
      <c r="AD76" s="148"/>
      <c r="AE76" s="150" t="e">
        <f t="shared" si="15"/>
        <v>#REF!</v>
      </c>
      <c r="AF76" s="154">
        <v>8</v>
      </c>
      <c r="AG76" s="162">
        <f t="shared" si="16"/>
        <v>16</v>
      </c>
      <c r="AH76" s="149">
        <f t="shared" si="17"/>
        <v>8</v>
      </c>
      <c r="AI76" s="149">
        <f t="shared" si="18"/>
        <v>2.6666666666666665</v>
      </c>
      <c r="AJ76" s="162">
        <v>3</v>
      </c>
      <c r="AK76" s="149"/>
      <c r="AL76" s="148"/>
      <c r="AM76" s="148"/>
      <c r="AN76" s="148"/>
      <c r="AO76" s="148"/>
      <c r="AP76" s="148"/>
      <c r="AQ76" s="148"/>
      <c r="AR76" s="148"/>
      <c r="AS76" s="148"/>
      <c r="AT76" s="148"/>
      <c r="AU76" s="150"/>
      <c r="AV76" s="154"/>
    </row>
    <row r="77" spans="1:48" ht="17.25" thickTop="1" thickBot="1" x14ac:dyDescent="0.3">
      <c r="A77" s="138" t="s">
        <v>193</v>
      </c>
      <c r="B77" s="153" t="s">
        <v>199</v>
      </c>
      <c r="C77" s="140" t="e">
        <f>'[1]Pop-Alvo-CNMenAfricVac por AS'!D83</f>
        <v>#REF!</v>
      </c>
      <c r="D77" s="141">
        <v>0.3242398408638818</v>
      </c>
      <c r="E77" s="141">
        <v>0.41986359761295822</v>
      </c>
      <c r="F77" s="141">
        <v>0.25589656152315998</v>
      </c>
      <c r="G77" s="142" t="e">
        <f t="shared" si="24"/>
        <v>#REF!</v>
      </c>
      <c r="H77" s="142" t="e">
        <f t="shared" si="25"/>
        <v>#REF!</v>
      </c>
      <c r="I77" s="142" t="e">
        <f t="shared" si="26"/>
        <v>#REF!</v>
      </c>
      <c r="J77" s="143" t="e">
        <f t="shared" ref="J77:L128" si="30">G77*20.3%</f>
        <v>#REF!</v>
      </c>
      <c r="K77" s="143" t="e">
        <f t="shared" si="30"/>
        <v>#REF!</v>
      </c>
      <c r="L77" s="144" t="e">
        <f t="shared" si="30"/>
        <v>#REF!</v>
      </c>
      <c r="M77" s="145" t="e">
        <f t="shared" si="20"/>
        <v>#REF!</v>
      </c>
      <c r="N77" s="146" t="e">
        <f t="shared" ref="N77:N128" si="31">ROUND(J77/150/7,0)</f>
        <v>#REF!</v>
      </c>
      <c r="O77" s="146" t="e">
        <f t="shared" ref="O77:O128" si="32">ROUND(K77/100/7,0)</f>
        <v>#REF!</v>
      </c>
      <c r="P77" s="146" t="e">
        <f t="shared" ref="P77:P128" si="33">ROUND(L77/60/7,0)</f>
        <v>#REF!</v>
      </c>
      <c r="Q77" s="147" t="e">
        <f t="shared" ref="Q77:Q128" si="34">SUM(N77:P77)</f>
        <v>#REF!</v>
      </c>
      <c r="R77" s="148" t="e">
        <f t="shared" ref="R77:R128" si="35">ROUND(M77/100/7,0)</f>
        <v>#REF!</v>
      </c>
      <c r="S77" s="149" t="e">
        <f t="shared" si="27"/>
        <v>#REF!</v>
      </c>
      <c r="T77" s="149" t="e">
        <f t="shared" si="27"/>
        <v>#REF!</v>
      </c>
      <c r="U77" s="149" t="e">
        <f t="shared" si="28"/>
        <v>#REF!</v>
      </c>
      <c r="V77" s="148"/>
      <c r="W77" s="148" t="e">
        <f t="shared" ref="W77:W128" si="36">ROUND(IF(S77&lt;=15,S77,15),0)</f>
        <v>#REF!</v>
      </c>
      <c r="X77" s="148" t="e">
        <f t="shared" si="29"/>
        <v>#REF!</v>
      </c>
      <c r="Y77" s="148" t="e">
        <f t="shared" si="29"/>
        <v>#REF!</v>
      </c>
      <c r="Z77" s="148"/>
      <c r="AA77" s="148"/>
      <c r="AB77" s="148"/>
      <c r="AC77" s="148"/>
      <c r="AD77" s="148"/>
      <c r="AE77" s="150" t="e">
        <f t="shared" ref="AE77:AE128" si="37">ROUND(M77/104/7,0)</f>
        <v>#REF!</v>
      </c>
      <c r="AF77" s="154">
        <v>2</v>
      </c>
      <c r="AG77" s="162">
        <f t="shared" ref="AG77:AG128" si="38">AF77*2</f>
        <v>4</v>
      </c>
      <c r="AH77" s="149">
        <f t="shared" ref="AH77:AH128" si="39">AF77*1</f>
        <v>2</v>
      </c>
      <c r="AI77" s="149">
        <f t="shared" ref="AI77:AI128" si="40">AF77/3</f>
        <v>0.66666666666666663</v>
      </c>
      <c r="AJ77" s="162">
        <v>1</v>
      </c>
      <c r="AK77" s="149"/>
      <c r="AL77" s="148"/>
      <c r="AM77" s="148"/>
      <c r="AN77" s="148"/>
      <c r="AO77" s="148"/>
      <c r="AP77" s="148"/>
      <c r="AQ77" s="148"/>
      <c r="AR77" s="148"/>
      <c r="AS77" s="148"/>
      <c r="AT77" s="148"/>
      <c r="AU77" s="150"/>
      <c r="AV77" s="154"/>
    </row>
    <row r="78" spans="1:48" ht="17.25" thickTop="1" thickBot="1" x14ac:dyDescent="0.3">
      <c r="A78" s="138" t="s">
        <v>193</v>
      </c>
      <c r="B78" s="153" t="s">
        <v>200</v>
      </c>
      <c r="C78" s="140" t="e">
        <f>'[1]Pop-Alvo-CNMenAfricVac por AS'!D84</f>
        <v>#REF!</v>
      </c>
      <c r="D78" s="141">
        <v>0.31060187741579237</v>
      </c>
      <c r="E78" s="141">
        <v>0.12313638873550524</v>
      </c>
      <c r="F78" s="141">
        <v>0.56626173384870238</v>
      </c>
      <c r="G78" s="142" t="e">
        <f t="shared" si="24"/>
        <v>#REF!</v>
      </c>
      <c r="H78" s="142" t="e">
        <f t="shared" si="25"/>
        <v>#REF!</v>
      </c>
      <c r="I78" s="142" t="e">
        <f t="shared" si="26"/>
        <v>#REF!</v>
      </c>
      <c r="J78" s="143" t="e">
        <f t="shared" si="30"/>
        <v>#REF!</v>
      </c>
      <c r="K78" s="143" t="e">
        <f t="shared" si="30"/>
        <v>#REF!</v>
      </c>
      <c r="L78" s="144" t="e">
        <f t="shared" si="30"/>
        <v>#REF!</v>
      </c>
      <c r="M78" s="145" t="e">
        <f t="shared" si="20"/>
        <v>#REF!</v>
      </c>
      <c r="N78" s="146" t="e">
        <f t="shared" si="31"/>
        <v>#REF!</v>
      </c>
      <c r="O78" s="146" t="e">
        <f t="shared" si="32"/>
        <v>#REF!</v>
      </c>
      <c r="P78" s="146" t="e">
        <f t="shared" si="33"/>
        <v>#REF!</v>
      </c>
      <c r="Q78" s="147" t="e">
        <f t="shared" si="34"/>
        <v>#REF!</v>
      </c>
      <c r="R78" s="148" t="e">
        <f t="shared" si="35"/>
        <v>#REF!</v>
      </c>
      <c r="S78" s="149" t="e">
        <f t="shared" si="27"/>
        <v>#REF!</v>
      </c>
      <c r="T78" s="149" t="e">
        <f t="shared" si="27"/>
        <v>#REF!</v>
      </c>
      <c r="U78" s="149" t="e">
        <f t="shared" si="28"/>
        <v>#REF!</v>
      </c>
      <c r="V78" s="148"/>
      <c r="W78" s="148" t="e">
        <f t="shared" si="36"/>
        <v>#REF!</v>
      </c>
      <c r="X78" s="148" t="e">
        <f t="shared" si="29"/>
        <v>#REF!</v>
      </c>
      <c r="Y78" s="148" t="e">
        <f t="shared" si="29"/>
        <v>#REF!</v>
      </c>
      <c r="Z78" s="148"/>
      <c r="AA78" s="148"/>
      <c r="AB78" s="148"/>
      <c r="AC78" s="148"/>
      <c r="AD78" s="148"/>
      <c r="AE78" s="150" t="e">
        <f t="shared" si="37"/>
        <v>#REF!</v>
      </c>
      <c r="AF78" s="154">
        <v>2</v>
      </c>
      <c r="AG78" s="162">
        <f t="shared" si="38"/>
        <v>4</v>
      </c>
      <c r="AH78" s="149">
        <f t="shared" si="39"/>
        <v>2</v>
      </c>
      <c r="AI78" s="149">
        <f t="shared" si="40"/>
        <v>0.66666666666666663</v>
      </c>
      <c r="AJ78" s="162">
        <v>1</v>
      </c>
      <c r="AK78" s="149"/>
      <c r="AL78" s="148"/>
      <c r="AM78" s="148"/>
      <c r="AN78" s="148"/>
      <c r="AO78" s="148"/>
      <c r="AP78" s="148"/>
      <c r="AQ78" s="148"/>
      <c r="AR78" s="148"/>
      <c r="AS78" s="148"/>
      <c r="AT78" s="148"/>
      <c r="AU78" s="150"/>
      <c r="AV78" s="154"/>
    </row>
    <row r="79" spans="1:48" ht="17.25" thickTop="1" thickBot="1" x14ac:dyDescent="0.3">
      <c r="A79" s="138" t="s">
        <v>193</v>
      </c>
      <c r="B79" s="153" t="s">
        <v>201</v>
      </c>
      <c r="C79" s="140" t="e">
        <f>'[1]Pop-Alvo-CNMenAfricVac por AS'!D85</f>
        <v>#REF!</v>
      </c>
      <c r="D79" s="141">
        <v>0.18399372302863867</v>
      </c>
      <c r="E79" s="141">
        <v>0.26480972930561003</v>
      </c>
      <c r="F79" s="141">
        <v>0.55119654766575132</v>
      </c>
      <c r="G79" s="142" t="e">
        <f t="shared" si="24"/>
        <v>#REF!</v>
      </c>
      <c r="H79" s="142" t="e">
        <f t="shared" si="25"/>
        <v>#REF!</v>
      </c>
      <c r="I79" s="142" t="e">
        <f t="shared" si="26"/>
        <v>#REF!</v>
      </c>
      <c r="J79" s="143" t="e">
        <f t="shared" si="30"/>
        <v>#REF!</v>
      </c>
      <c r="K79" s="143" t="e">
        <f t="shared" si="30"/>
        <v>#REF!</v>
      </c>
      <c r="L79" s="144" t="e">
        <f t="shared" si="30"/>
        <v>#REF!</v>
      </c>
      <c r="M79" s="145" t="e">
        <f t="shared" si="20"/>
        <v>#REF!</v>
      </c>
      <c r="N79" s="146" t="e">
        <f t="shared" si="31"/>
        <v>#REF!</v>
      </c>
      <c r="O79" s="146" t="e">
        <f t="shared" si="32"/>
        <v>#REF!</v>
      </c>
      <c r="P79" s="146" t="e">
        <f t="shared" si="33"/>
        <v>#REF!</v>
      </c>
      <c r="Q79" s="147" t="e">
        <f t="shared" si="34"/>
        <v>#REF!</v>
      </c>
      <c r="R79" s="148" t="e">
        <f t="shared" si="35"/>
        <v>#REF!</v>
      </c>
      <c r="S79" s="149" t="e">
        <f t="shared" si="27"/>
        <v>#REF!</v>
      </c>
      <c r="T79" s="149" t="e">
        <f t="shared" si="27"/>
        <v>#REF!</v>
      </c>
      <c r="U79" s="149" t="e">
        <f t="shared" si="28"/>
        <v>#REF!</v>
      </c>
      <c r="V79" s="148"/>
      <c r="W79" s="148" t="e">
        <f t="shared" si="36"/>
        <v>#REF!</v>
      </c>
      <c r="X79" s="148" t="e">
        <f t="shared" si="29"/>
        <v>#REF!</v>
      </c>
      <c r="Y79" s="148" t="e">
        <f t="shared" si="29"/>
        <v>#REF!</v>
      </c>
      <c r="Z79" s="148"/>
      <c r="AA79" s="148"/>
      <c r="AB79" s="148"/>
      <c r="AC79" s="148"/>
      <c r="AD79" s="148"/>
      <c r="AE79" s="150" t="e">
        <f t="shared" si="37"/>
        <v>#REF!</v>
      </c>
      <c r="AF79" s="154">
        <v>1</v>
      </c>
      <c r="AG79" s="162">
        <f t="shared" si="38"/>
        <v>2</v>
      </c>
      <c r="AH79" s="149">
        <f t="shared" si="39"/>
        <v>1</v>
      </c>
      <c r="AI79" s="149">
        <f t="shared" si="40"/>
        <v>0.33333333333333331</v>
      </c>
      <c r="AJ79" s="162">
        <v>1</v>
      </c>
      <c r="AK79" s="149"/>
      <c r="AL79" s="148"/>
      <c r="AM79" s="148"/>
      <c r="AN79" s="148"/>
      <c r="AO79" s="148"/>
      <c r="AP79" s="148"/>
      <c r="AQ79" s="148"/>
      <c r="AR79" s="148"/>
      <c r="AS79" s="148"/>
      <c r="AT79" s="148"/>
      <c r="AU79" s="150"/>
      <c r="AV79" s="154"/>
    </row>
    <row r="80" spans="1:48" ht="17.25" thickTop="1" thickBot="1" x14ac:dyDescent="0.3">
      <c r="A80" s="138" t="s">
        <v>193</v>
      </c>
      <c r="B80" s="153" t="s">
        <v>202</v>
      </c>
      <c r="C80" s="140" t="e">
        <f>'[1]Pop-Alvo-CNMenAfricVac por AS'!D86</f>
        <v>#REF!</v>
      </c>
      <c r="D80" s="141">
        <v>0.38046179019453369</v>
      </c>
      <c r="E80" s="141">
        <v>0.55293618568571601</v>
      </c>
      <c r="F80" s="141">
        <v>6.6602024119750317E-2</v>
      </c>
      <c r="G80" s="142" t="e">
        <f t="shared" si="24"/>
        <v>#REF!</v>
      </c>
      <c r="H80" s="142" t="e">
        <f t="shared" si="25"/>
        <v>#REF!</v>
      </c>
      <c r="I80" s="142" t="e">
        <f t="shared" si="26"/>
        <v>#REF!</v>
      </c>
      <c r="J80" s="143" t="e">
        <f t="shared" si="30"/>
        <v>#REF!</v>
      </c>
      <c r="K80" s="143" t="e">
        <f t="shared" si="30"/>
        <v>#REF!</v>
      </c>
      <c r="L80" s="144" t="e">
        <f t="shared" si="30"/>
        <v>#REF!</v>
      </c>
      <c r="M80" s="145" t="e">
        <f t="shared" si="20"/>
        <v>#REF!</v>
      </c>
      <c r="N80" s="146" t="e">
        <f t="shared" si="31"/>
        <v>#REF!</v>
      </c>
      <c r="O80" s="146" t="e">
        <f t="shared" si="32"/>
        <v>#REF!</v>
      </c>
      <c r="P80" s="146" t="e">
        <f t="shared" si="33"/>
        <v>#REF!</v>
      </c>
      <c r="Q80" s="147" t="e">
        <f t="shared" si="34"/>
        <v>#REF!</v>
      </c>
      <c r="R80" s="148" t="e">
        <f t="shared" si="35"/>
        <v>#REF!</v>
      </c>
      <c r="S80" s="149" t="e">
        <f t="shared" si="27"/>
        <v>#REF!</v>
      </c>
      <c r="T80" s="149" t="e">
        <f t="shared" si="27"/>
        <v>#REF!</v>
      </c>
      <c r="U80" s="149" t="e">
        <f t="shared" si="28"/>
        <v>#REF!</v>
      </c>
      <c r="V80" s="148"/>
      <c r="W80" s="148" t="e">
        <f t="shared" si="36"/>
        <v>#REF!</v>
      </c>
      <c r="X80" s="148" t="e">
        <f t="shared" si="29"/>
        <v>#REF!</v>
      </c>
      <c r="Y80" s="148" t="e">
        <f t="shared" si="29"/>
        <v>#REF!</v>
      </c>
      <c r="Z80" s="148"/>
      <c r="AA80" s="148"/>
      <c r="AB80" s="148"/>
      <c r="AC80" s="148"/>
      <c r="AD80" s="148"/>
      <c r="AE80" s="150" t="e">
        <f t="shared" si="37"/>
        <v>#REF!</v>
      </c>
      <c r="AF80" s="154">
        <v>4</v>
      </c>
      <c r="AG80" s="162">
        <f t="shared" si="38"/>
        <v>8</v>
      </c>
      <c r="AH80" s="149">
        <f t="shared" si="39"/>
        <v>4</v>
      </c>
      <c r="AI80" s="149">
        <f t="shared" si="40"/>
        <v>1.3333333333333333</v>
      </c>
      <c r="AJ80" s="162">
        <v>1</v>
      </c>
      <c r="AK80" s="149"/>
      <c r="AL80" s="148"/>
      <c r="AM80" s="148"/>
      <c r="AN80" s="148"/>
      <c r="AO80" s="148"/>
      <c r="AP80" s="148"/>
      <c r="AQ80" s="148"/>
      <c r="AR80" s="148"/>
      <c r="AS80" s="148"/>
      <c r="AT80" s="148"/>
      <c r="AU80" s="150"/>
      <c r="AV80" s="154"/>
    </row>
    <row r="81" spans="1:48" ht="17.25" thickTop="1" thickBot="1" x14ac:dyDescent="0.3">
      <c r="A81" s="138" t="s">
        <v>193</v>
      </c>
      <c r="B81" s="153" t="s">
        <v>203</v>
      </c>
      <c r="C81" s="140" t="e">
        <f>'[1]Pop-Alvo-CNMenAfricVac por AS'!D87</f>
        <v>#REF!</v>
      </c>
      <c r="D81" s="141">
        <v>0.56497961618772996</v>
      </c>
      <c r="E81" s="141">
        <v>0.18802823903748633</v>
      </c>
      <c r="F81" s="141">
        <v>0.24699214477478373</v>
      </c>
      <c r="G81" s="142" t="e">
        <f t="shared" si="24"/>
        <v>#REF!</v>
      </c>
      <c r="H81" s="142" t="e">
        <f t="shared" si="25"/>
        <v>#REF!</v>
      </c>
      <c r="I81" s="142" t="e">
        <f t="shared" si="26"/>
        <v>#REF!</v>
      </c>
      <c r="J81" s="143" t="e">
        <f t="shared" si="30"/>
        <v>#REF!</v>
      </c>
      <c r="K81" s="143" t="e">
        <f t="shared" si="30"/>
        <v>#REF!</v>
      </c>
      <c r="L81" s="144" t="e">
        <f t="shared" si="30"/>
        <v>#REF!</v>
      </c>
      <c r="M81" s="145" t="e">
        <f t="shared" si="20"/>
        <v>#REF!</v>
      </c>
      <c r="N81" s="146" t="e">
        <f t="shared" si="31"/>
        <v>#REF!</v>
      </c>
      <c r="O81" s="146" t="e">
        <f t="shared" si="32"/>
        <v>#REF!</v>
      </c>
      <c r="P81" s="146" t="e">
        <f t="shared" si="33"/>
        <v>#REF!</v>
      </c>
      <c r="Q81" s="147" t="e">
        <f t="shared" si="34"/>
        <v>#REF!</v>
      </c>
      <c r="R81" s="148" t="e">
        <f t="shared" si="35"/>
        <v>#REF!</v>
      </c>
      <c r="S81" s="149" t="e">
        <f t="shared" si="27"/>
        <v>#REF!</v>
      </c>
      <c r="T81" s="149" t="e">
        <f t="shared" si="27"/>
        <v>#REF!</v>
      </c>
      <c r="U81" s="149" t="e">
        <f t="shared" si="28"/>
        <v>#REF!</v>
      </c>
      <c r="V81" s="148"/>
      <c r="W81" s="148" t="e">
        <f t="shared" si="36"/>
        <v>#REF!</v>
      </c>
      <c r="X81" s="148" t="e">
        <f t="shared" si="29"/>
        <v>#REF!</v>
      </c>
      <c r="Y81" s="148" t="e">
        <f t="shared" si="29"/>
        <v>#REF!</v>
      </c>
      <c r="Z81" s="148"/>
      <c r="AA81" s="148"/>
      <c r="AB81" s="148"/>
      <c r="AC81" s="148"/>
      <c r="AD81" s="148"/>
      <c r="AE81" s="150" t="e">
        <f t="shared" si="37"/>
        <v>#REF!</v>
      </c>
      <c r="AF81" s="154">
        <v>3</v>
      </c>
      <c r="AG81" s="162">
        <f t="shared" si="38"/>
        <v>6</v>
      </c>
      <c r="AH81" s="149">
        <f t="shared" si="39"/>
        <v>3</v>
      </c>
      <c r="AI81" s="149">
        <f t="shared" si="40"/>
        <v>1</v>
      </c>
      <c r="AJ81" s="162">
        <v>1</v>
      </c>
      <c r="AK81" s="149"/>
      <c r="AL81" s="148"/>
      <c r="AM81" s="148"/>
      <c r="AN81" s="148"/>
      <c r="AO81" s="148"/>
      <c r="AP81" s="148"/>
      <c r="AQ81" s="148"/>
      <c r="AR81" s="148"/>
      <c r="AS81" s="148"/>
      <c r="AT81" s="148"/>
      <c r="AU81" s="150"/>
      <c r="AV81" s="154"/>
    </row>
    <row r="82" spans="1:48" ht="17.25" thickTop="1" thickBot="1" x14ac:dyDescent="0.3">
      <c r="A82" s="138" t="s">
        <v>193</v>
      </c>
      <c r="B82" s="153" t="s">
        <v>193</v>
      </c>
      <c r="C82" s="140" t="e">
        <f>'[1]Pop-Alvo-CNMenAfricVac por AS'!D88</f>
        <v>#REF!</v>
      </c>
      <c r="D82" s="141">
        <v>1</v>
      </c>
      <c r="E82" s="141">
        <v>0</v>
      </c>
      <c r="F82" s="141">
        <v>0</v>
      </c>
      <c r="G82" s="142" t="e">
        <f t="shared" si="24"/>
        <v>#REF!</v>
      </c>
      <c r="H82" s="142" t="e">
        <f t="shared" si="25"/>
        <v>#REF!</v>
      </c>
      <c r="I82" s="142" t="e">
        <f t="shared" si="26"/>
        <v>#REF!</v>
      </c>
      <c r="J82" s="143" t="e">
        <f t="shared" si="30"/>
        <v>#REF!</v>
      </c>
      <c r="K82" s="143" t="e">
        <f t="shared" si="30"/>
        <v>#REF!</v>
      </c>
      <c r="L82" s="144" t="e">
        <f t="shared" si="30"/>
        <v>#REF!</v>
      </c>
      <c r="M82" s="145" t="e">
        <f t="shared" si="20"/>
        <v>#REF!</v>
      </c>
      <c r="N82" s="146" t="e">
        <f t="shared" si="31"/>
        <v>#REF!</v>
      </c>
      <c r="O82" s="146" t="e">
        <f t="shared" si="32"/>
        <v>#REF!</v>
      </c>
      <c r="P82" s="146" t="e">
        <f t="shared" si="33"/>
        <v>#REF!</v>
      </c>
      <c r="Q82" s="147" t="e">
        <f t="shared" si="34"/>
        <v>#REF!</v>
      </c>
      <c r="R82" s="148" t="e">
        <f t="shared" si="35"/>
        <v>#REF!</v>
      </c>
      <c r="S82" s="149" t="e">
        <f t="shared" si="27"/>
        <v>#REF!</v>
      </c>
      <c r="T82" s="149" t="e">
        <f t="shared" si="27"/>
        <v>#REF!</v>
      </c>
      <c r="U82" s="149" t="e">
        <f t="shared" si="28"/>
        <v>#REF!</v>
      </c>
      <c r="V82" s="148"/>
      <c r="W82" s="148" t="e">
        <f t="shared" si="36"/>
        <v>#REF!</v>
      </c>
      <c r="X82" s="148" t="e">
        <f t="shared" si="29"/>
        <v>#REF!</v>
      </c>
      <c r="Y82" s="148" t="e">
        <f t="shared" si="29"/>
        <v>#REF!</v>
      </c>
      <c r="Z82" s="148"/>
      <c r="AA82" s="148"/>
      <c r="AB82" s="148"/>
      <c r="AC82" s="148"/>
      <c r="AD82" s="148"/>
      <c r="AE82" s="150" t="e">
        <f t="shared" si="37"/>
        <v>#REF!</v>
      </c>
      <c r="AF82" s="154">
        <v>19</v>
      </c>
      <c r="AG82" s="162">
        <f t="shared" si="38"/>
        <v>38</v>
      </c>
      <c r="AH82" s="149">
        <f t="shared" si="39"/>
        <v>19</v>
      </c>
      <c r="AI82" s="149">
        <f t="shared" si="40"/>
        <v>6.333333333333333</v>
      </c>
      <c r="AJ82" s="162">
        <v>6</v>
      </c>
      <c r="AK82" s="149">
        <v>6</v>
      </c>
      <c r="AL82" s="148"/>
      <c r="AM82" s="148"/>
      <c r="AN82" s="148"/>
      <c r="AO82" s="148"/>
      <c r="AP82" s="148"/>
      <c r="AQ82" s="148"/>
      <c r="AR82" s="148"/>
      <c r="AS82" s="148"/>
      <c r="AT82" s="148"/>
      <c r="AU82" s="150"/>
      <c r="AV82" s="154"/>
    </row>
    <row r="83" spans="1:48" ht="17.25" thickTop="1" thickBot="1" x14ac:dyDescent="0.3">
      <c r="A83" s="138" t="s">
        <v>193</v>
      </c>
      <c r="B83" s="153" t="s">
        <v>204</v>
      </c>
      <c r="C83" s="140" t="e">
        <f>'[1]Pop-Alvo-CNMenAfricVac por AS'!D89</f>
        <v>#REF!</v>
      </c>
      <c r="D83" s="141">
        <v>4.3206471777900352E-2</v>
      </c>
      <c r="E83" s="141">
        <v>0.18496047067475638</v>
      </c>
      <c r="F83" s="141">
        <v>0.77183305754734322</v>
      </c>
      <c r="G83" s="142" t="e">
        <f t="shared" si="24"/>
        <v>#REF!</v>
      </c>
      <c r="H83" s="142" t="e">
        <f t="shared" si="25"/>
        <v>#REF!</v>
      </c>
      <c r="I83" s="142" t="e">
        <f t="shared" si="26"/>
        <v>#REF!</v>
      </c>
      <c r="J83" s="143" t="e">
        <f t="shared" si="30"/>
        <v>#REF!</v>
      </c>
      <c r="K83" s="143" t="e">
        <f t="shared" si="30"/>
        <v>#REF!</v>
      </c>
      <c r="L83" s="144" t="e">
        <f t="shared" si="30"/>
        <v>#REF!</v>
      </c>
      <c r="M83" s="145" t="e">
        <f t="shared" si="20"/>
        <v>#REF!</v>
      </c>
      <c r="N83" s="146" t="e">
        <f t="shared" si="31"/>
        <v>#REF!</v>
      </c>
      <c r="O83" s="146" t="e">
        <f t="shared" si="32"/>
        <v>#REF!</v>
      </c>
      <c r="P83" s="146" t="e">
        <f t="shared" si="33"/>
        <v>#REF!</v>
      </c>
      <c r="Q83" s="147" t="e">
        <f t="shared" si="34"/>
        <v>#REF!</v>
      </c>
      <c r="R83" s="148" t="e">
        <f t="shared" si="35"/>
        <v>#REF!</v>
      </c>
      <c r="S83" s="149" t="e">
        <f t="shared" si="27"/>
        <v>#REF!</v>
      </c>
      <c r="T83" s="149" t="e">
        <f t="shared" si="27"/>
        <v>#REF!</v>
      </c>
      <c r="U83" s="149" t="e">
        <f t="shared" si="28"/>
        <v>#REF!</v>
      </c>
      <c r="V83" s="148"/>
      <c r="W83" s="148" t="e">
        <f t="shared" si="36"/>
        <v>#REF!</v>
      </c>
      <c r="X83" s="148" t="e">
        <f t="shared" si="29"/>
        <v>#REF!</v>
      </c>
      <c r="Y83" s="148" t="e">
        <f t="shared" si="29"/>
        <v>#REF!</v>
      </c>
      <c r="Z83" s="148"/>
      <c r="AA83" s="148"/>
      <c r="AB83" s="148"/>
      <c r="AC83" s="148"/>
      <c r="AD83" s="148"/>
      <c r="AE83" s="150" t="e">
        <f t="shared" si="37"/>
        <v>#REF!</v>
      </c>
      <c r="AF83" s="154">
        <v>1</v>
      </c>
      <c r="AG83" s="162">
        <f t="shared" si="38"/>
        <v>2</v>
      </c>
      <c r="AH83" s="149">
        <f t="shared" si="39"/>
        <v>1</v>
      </c>
      <c r="AI83" s="149">
        <f t="shared" si="40"/>
        <v>0.33333333333333331</v>
      </c>
      <c r="AJ83" s="162">
        <v>1</v>
      </c>
      <c r="AK83" s="149"/>
      <c r="AL83" s="148"/>
      <c r="AM83" s="148"/>
      <c r="AN83" s="148"/>
      <c r="AO83" s="148"/>
      <c r="AP83" s="148"/>
      <c r="AQ83" s="148"/>
      <c r="AR83" s="148"/>
      <c r="AS83" s="148"/>
      <c r="AT83" s="148"/>
      <c r="AU83" s="150"/>
      <c r="AV83" s="154"/>
    </row>
    <row r="84" spans="1:48" ht="17.25" thickTop="1" thickBot="1" x14ac:dyDescent="0.3">
      <c r="A84" s="138" t="s">
        <v>193</v>
      </c>
      <c r="B84" s="153" t="s">
        <v>205</v>
      </c>
      <c r="C84" s="140" t="e">
        <f>'[1]Pop-Alvo-CNMenAfricVac por AS'!D90</f>
        <v>#REF!</v>
      </c>
      <c r="D84" s="141">
        <v>0.44185905224787364</v>
      </c>
      <c r="E84" s="141">
        <v>0.30157958687727826</v>
      </c>
      <c r="F84" s="141">
        <v>0.2565613608748481</v>
      </c>
      <c r="G84" s="142" t="e">
        <f t="shared" si="24"/>
        <v>#REF!</v>
      </c>
      <c r="H84" s="142" t="e">
        <f t="shared" si="25"/>
        <v>#REF!</v>
      </c>
      <c r="I84" s="142" t="e">
        <f t="shared" si="26"/>
        <v>#REF!</v>
      </c>
      <c r="J84" s="143" t="e">
        <f t="shared" si="30"/>
        <v>#REF!</v>
      </c>
      <c r="K84" s="143" t="e">
        <f t="shared" si="30"/>
        <v>#REF!</v>
      </c>
      <c r="L84" s="144" t="e">
        <f t="shared" si="30"/>
        <v>#REF!</v>
      </c>
      <c r="M84" s="145" t="e">
        <f t="shared" si="20"/>
        <v>#REF!</v>
      </c>
      <c r="N84" s="146" t="e">
        <f t="shared" si="31"/>
        <v>#REF!</v>
      </c>
      <c r="O84" s="146" t="e">
        <f t="shared" si="32"/>
        <v>#REF!</v>
      </c>
      <c r="P84" s="146" t="e">
        <f t="shared" si="33"/>
        <v>#REF!</v>
      </c>
      <c r="Q84" s="147" t="e">
        <f t="shared" si="34"/>
        <v>#REF!</v>
      </c>
      <c r="R84" s="148" t="e">
        <f t="shared" si="35"/>
        <v>#REF!</v>
      </c>
      <c r="S84" s="149" t="e">
        <f t="shared" si="27"/>
        <v>#REF!</v>
      </c>
      <c r="T84" s="149" t="e">
        <f t="shared" si="27"/>
        <v>#REF!</v>
      </c>
      <c r="U84" s="149" t="e">
        <f t="shared" si="28"/>
        <v>#REF!</v>
      </c>
      <c r="V84" s="148"/>
      <c r="W84" s="148" t="e">
        <f t="shared" si="36"/>
        <v>#REF!</v>
      </c>
      <c r="X84" s="148" t="e">
        <f t="shared" si="29"/>
        <v>#REF!</v>
      </c>
      <c r="Y84" s="148" t="e">
        <f t="shared" si="29"/>
        <v>#REF!</v>
      </c>
      <c r="Z84" s="148"/>
      <c r="AA84" s="148"/>
      <c r="AB84" s="148"/>
      <c r="AC84" s="148"/>
      <c r="AD84" s="148"/>
      <c r="AE84" s="150" t="e">
        <f t="shared" si="37"/>
        <v>#REF!</v>
      </c>
      <c r="AF84" s="154">
        <v>5</v>
      </c>
      <c r="AG84" s="162">
        <f t="shared" si="38"/>
        <v>10</v>
      </c>
      <c r="AH84" s="149">
        <f t="shared" si="39"/>
        <v>5</v>
      </c>
      <c r="AI84" s="149">
        <f t="shared" si="40"/>
        <v>1.6666666666666667</v>
      </c>
      <c r="AJ84" s="162">
        <v>2</v>
      </c>
      <c r="AK84" s="149"/>
      <c r="AL84" s="148"/>
      <c r="AM84" s="148"/>
      <c r="AN84" s="148"/>
      <c r="AO84" s="148"/>
      <c r="AP84" s="148"/>
      <c r="AQ84" s="148"/>
      <c r="AR84" s="148"/>
      <c r="AS84" s="148"/>
      <c r="AT84" s="148"/>
      <c r="AU84" s="150"/>
      <c r="AV84" s="154"/>
    </row>
    <row r="85" spans="1:48" ht="17.25" thickTop="1" thickBot="1" x14ac:dyDescent="0.3">
      <c r="A85" s="138" t="s">
        <v>193</v>
      </c>
      <c r="B85" s="153" t="s">
        <v>206</v>
      </c>
      <c r="C85" s="140" t="e">
        <f>'[1]Pop-Alvo-CNMenAfricVac por AS'!D91</f>
        <v>#REF!</v>
      </c>
      <c r="D85" s="141">
        <v>0.45848640705363702</v>
      </c>
      <c r="E85" s="141">
        <v>0.52234319684723796</v>
      </c>
      <c r="F85" s="141">
        <v>1.9170396099124975E-2</v>
      </c>
      <c r="G85" s="142" t="e">
        <f t="shared" si="24"/>
        <v>#REF!</v>
      </c>
      <c r="H85" s="142" t="e">
        <f t="shared" si="25"/>
        <v>#REF!</v>
      </c>
      <c r="I85" s="142" t="e">
        <f t="shared" si="26"/>
        <v>#REF!</v>
      </c>
      <c r="J85" s="143" t="e">
        <f t="shared" si="30"/>
        <v>#REF!</v>
      </c>
      <c r="K85" s="143" t="e">
        <f t="shared" si="30"/>
        <v>#REF!</v>
      </c>
      <c r="L85" s="144" t="e">
        <f t="shared" si="30"/>
        <v>#REF!</v>
      </c>
      <c r="M85" s="145" t="e">
        <f t="shared" si="20"/>
        <v>#REF!</v>
      </c>
      <c r="N85" s="146" t="e">
        <f t="shared" si="31"/>
        <v>#REF!</v>
      </c>
      <c r="O85" s="146" t="e">
        <f t="shared" si="32"/>
        <v>#REF!</v>
      </c>
      <c r="P85" s="146" t="e">
        <f t="shared" si="33"/>
        <v>#REF!</v>
      </c>
      <c r="Q85" s="147" t="e">
        <f t="shared" si="34"/>
        <v>#REF!</v>
      </c>
      <c r="R85" s="148" t="e">
        <f t="shared" si="35"/>
        <v>#REF!</v>
      </c>
      <c r="S85" s="149" t="e">
        <f t="shared" si="27"/>
        <v>#REF!</v>
      </c>
      <c r="T85" s="149" t="e">
        <f t="shared" si="27"/>
        <v>#REF!</v>
      </c>
      <c r="U85" s="149" t="e">
        <f t="shared" si="28"/>
        <v>#REF!</v>
      </c>
      <c r="V85" s="148"/>
      <c r="W85" s="148" t="e">
        <f t="shared" si="36"/>
        <v>#REF!</v>
      </c>
      <c r="X85" s="148" t="e">
        <f t="shared" si="29"/>
        <v>#REF!</v>
      </c>
      <c r="Y85" s="148" t="e">
        <f t="shared" si="29"/>
        <v>#REF!</v>
      </c>
      <c r="Z85" s="148"/>
      <c r="AA85" s="148"/>
      <c r="AB85" s="148"/>
      <c r="AC85" s="148"/>
      <c r="AD85" s="148"/>
      <c r="AE85" s="150" t="e">
        <f t="shared" si="37"/>
        <v>#REF!</v>
      </c>
      <c r="AF85" s="154">
        <v>4</v>
      </c>
      <c r="AG85" s="162">
        <f t="shared" si="38"/>
        <v>8</v>
      </c>
      <c r="AH85" s="149">
        <f t="shared" si="39"/>
        <v>4</v>
      </c>
      <c r="AI85" s="149">
        <f t="shared" si="40"/>
        <v>1.3333333333333333</v>
      </c>
      <c r="AJ85" s="162">
        <v>1</v>
      </c>
      <c r="AK85" s="149"/>
      <c r="AL85" s="148"/>
      <c r="AM85" s="148"/>
      <c r="AN85" s="148"/>
      <c r="AO85" s="148"/>
      <c r="AP85" s="148"/>
      <c r="AQ85" s="148"/>
      <c r="AR85" s="148"/>
      <c r="AS85" s="148"/>
      <c r="AT85" s="148"/>
      <c r="AU85" s="150"/>
      <c r="AV85" s="154"/>
    </row>
    <row r="86" spans="1:48" ht="17.25" thickTop="1" thickBot="1" x14ac:dyDescent="0.3">
      <c r="A86" s="138" t="s">
        <v>193</v>
      </c>
      <c r="B86" s="153" t="s">
        <v>207</v>
      </c>
      <c r="C86" s="140" t="e">
        <f>'[1]Pop-Alvo-CNMenAfricVac por AS'!D92</f>
        <v>#REF!</v>
      </c>
      <c r="D86" s="141">
        <v>0.32252079717517507</v>
      </c>
      <c r="E86" s="141">
        <v>0.44215692141959423</v>
      </c>
      <c r="F86" s="141">
        <v>0.2353222814052307</v>
      </c>
      <c r="G86" s="142" t="e">
        <f t="shared" si="24"/>
        <v>#REF!</v>
      </c>
      <c r="H86" s="142" t="e">
        <f t="shared" si="25"/>
        <v>#REF!</v>
      </c>
      <c r="I86" s="142" t="e">
        <f t="shared" si="26"/>
        <v>#REF!</v>
      </c>
      <c r="J86" s="143" t="e">
        <f t="shared" si="30"/>
        <v>#REF!</v>
      </c>
      <c r="K86" s="143" t="e">
        <f t="shared" si="30"/>
        <v>#REF!</v>
      </c>
      <c r="L86" s="144" t="e">
        <f t="shared" si="30"/>
        <v>#REF!</v>
      </c>
      <c r="M86" s="145" t="e">
        <f t="shared" si="20"/>
        <v>#REF!</v>
      </c>
      <c r="N86" s="146" t="e">
        <f t="shared" si="31"/>
        <v>#REF!</v>
      </c>
      <c r="O86" s="146" t="e">
        <f t="shared" si="32"/>
        <v>#REF!</v>
      </c>
      <c r="P86" s="146" t="e">
        <f t="shared" si="33"/>
        <v>#REF!</v>
      </c>
      <c r="Q86" s="147" t="e">
        <f t="shared" si="34"/>
        <v>#REF!</v>
      </c>
      <c r="R86" s="148" t="e">
        <f t="shared" si="35"/>
        <v>#REF!</v>
      </c>
      <c r="S86" s="149" t="e">
        <f t="shared" si="27"/>
        <v>#REF!</v>
      </c>
      <c r="T86" s="149" t="e">
        <f t="shared" si="27"/>
        <v>#REF!</v>
      </c>
      <c r="U86" s="149" t="e">
        <f t="shared" si="28"/>
        <v>#REF!</v>
      </c>
      <c r="V86" s="148"/>
      <c r="W86" s="148" t="e">
        <f t="shared" si="36"/>
        <v>#REF!</v>
      </c>
      <c r="X86" s="148" t="e">
        <f t="shared" si="29"/>
        <v>#REF!</v>
      </c>
      <c r="Y86" s="148" t="e">
        <f t="shared" si="29"/>
        <v>#REF!</v>
      </c>
      <c r="Z86" s="148"/>
      <c r="AA86" s="148"/>
      <c r="AB86" s="148"/>
      <c r="AC86" s="148"/>
      <c r="AD86" s="148"/>
      <c r="AE86" s="150" t="e">
        <f t="shared" si="37"/>
        <v>#REF!</v>
      </c>
      <c r="AF86" s="154">
        <v>5</v>
      </c>
      <c r="AG86" s="162">
        <f t="shared" si="38"/>
        <v>10</v>
      </c>
      <c r="AH86" s="149">
        <f t="shared" si="39"/>
        <v>5</v>
      </c>
      <c r="AI86" s="149">
        <f t="shared" si="40"/>
        <v>1.6666666666666667</v>
      </c>
      <c r="AJ86" s="162">
        <v>2</v>
      </c>
      <c r="AK86" s="149"/>
      <c r="AL86" s="148"/>
      <c r="AM86" s="148"/>
      <c r="AN86" s="148"/>
      <c r="AO86" s="148"/>
      <c r="AP86" s="148"/>
      <c r="AQ86" s="148"/>
      <c r="AR86" s="148"/>
      <c r="AS86" s="148"/>
      <c r="AT86" s="148"/>
      <c r="AU86" s="150"/>
      <c r="AV86" s="154"/>
    </row>
    <row r="87" spans="1:48" ht="17.25" thickTop="1" thickBot="1" x14ac:dyDescent="0.3">
      <c r="A87" s="138" t="s">
        <v>193</v>
      </c>
      <c r="B87" s="153" t="s">
        <v>208</v>
      </c>
      <c r="C87" s="140" t="e">
        <f>'[1]Pop-Alvo-CNMenAfricVac por AS'!D93</f>
        <v>#REF!</v>
      </c>
      <c r="D87" s="141">
        <v>0.17135657286854264</v>
      </c>
      <c r="E87" s="141">
        <v>0.27922441551168975</v>
      </c>
      <c r="F87" s="141">
        <v>0.54941901161976758</v>
      </c>
      <c r="G87" s="142" t="e">
        <f t="shared" si="24"/>
        <v>#REF!</v>
      </c>
      <c r="H87" s="142" t="e">
        <f t="shared" si="25"/>
        <v>#REF!</v>
      </c>
      <c r="I87" s="142" t="e">
        <f t="shared" si="26"/>
        <v>#REF!</v>
      </c>
      <c r="J87" s="143" t="e">
        <f t="shared" si="30"/>
        <v>#REF!</v>
      </c>
      <c r="K87" s="143" t="e">
        <f t="shared" si="30"/>
        <v>#REF!</v>
      </c>
      <c r="L87" s="144" t="e">
        <f t="shared" si="30"/>
        <v>#REF!</v>
      </c>
      <c r="M87" s="145" t="e">
        <f t="shared" si="20"/>
        <v>#REF!</v>
      </c>
      <c r="N87" s="146" t="e">
        <f t="shared" si="31"/>
        <v>#REF!</v>
      </c>
      <c r="O87" s="146" t="e">
        <f t="shared" si="32"/>
        <v>#REF!</v>
      </c>
      <c r="P87" s="146" t="e">
        <f t="shared" si="33"/>
        <v>#REF!</v>
      </c>
      <c r="Q87" s="147" t="e">
        <f t="shared" si="34"/>
        <v>#REF!</v>
      </c>
      <c r="R87" s="148" t="e">
        <f t="shared" si="35"/>
        <v>#REF!</v>
      </c>
      <c r="S87" s="149" t="e">
        <f t="shared" si="27"/>
        <v>#REF!</v>
      </c>
      <c r="T87" s="149" t="e">
        <f t="shared" si="27"/>
        <v>#REF!</v>
      </c>
      <c r="U87" s="149" t="e">
        <f t="shared" si="28"/>
        <v>#REF!</v>
      </c>
      <c r="V87" s="148"/>
      <c r="W87" s="148" t="e">
        <f t="shared" si="36"/>
        <v>#REF!</v>
      </c>
      <c r="X87" s="148" t="e">
        <f t="shared" si="29"/>
        <v>#REF!</v>
      </c>
      <c r="Y87" s="148" t="e">
        <f t="shared" si="29"/>
        <v>#REF!</v>
      </c>
      <c r="Z87" s="148"/>
      <c r="AA87" s="148"/>
      <c r="AB87" s="148"/>
      <c r="AC87" s="148"/>
      <c r="AD87" s="148"/>
      <c r="AE87" s="150" t="e">
        <f t="shared" si="37"/>
        <v>#REF!</v>
      </c>
      <c r="AF87" s="154">
        <v>4</v>
      </c>
      <c r="AG87" s="162">
        <f t="shared" si="38"/>
        <v>8</v>
      </c>
      <c r="AH87" s="149">
        <f t="shared" si="39"/>
        <v>4</v>
      </c>
      <c r="AI87" s="149">
        <f t="shared" si="40"/>
        <v>1.3333333333333333</v>
      </c>
      <c r="AJ87" s="162">
        <v>1</v>
      </c>
      <c r="AK87" s="149"/>
      <c r="AL87" s="148"/>
      <c r="AM87" s="148"/>
      <c r="AN87" s="148"/>
      <c r="AO87" s="148"/>
      <c r="AP87" s="148"/>
      <c r="AQ87" s="148"/>
      <c r="AR87" s="148"/>
      <c r="AS87" s="148"/>
      <c r="AT87" s="148"/>
      <c r="AU87" s="150"/>
      <c r="AV87" s="154"/>
    </row>
    <row r="88" spans="1:48" ht="17.25" thickTop="1" thickBot="1" x14ac:dyDescent="0.3">
      <c r="A88" s="138" t="s">
        <v>193</v>
      </c>
      <c r="B88" s="153" t="s">
        <v>209</v>
      </c>
      <c r="C88" s="140" t="e">
        <f>'[1]Pop-Alvo-CNMenAfricVac por AS'!D94</f>
        <v>#REF!</v>
      </c>
      <c r="D88" s="141">
        <v>0.28170680185889313</v>
      </c>
      <c r="E88" s="141">
        <v>0.60278833967046896</v>
      </c>
      <c r="F88" s="141">
        <v>0.11550485847063793</v>
      </c>
      <c r="G88" s="142" t="e">
        <f t="shared" si="24"/>
        <v>#REF!</v>
      </c>
      <c r="H88" s="142" t="e">
        <f t="shared" si="25"/>
        <v>#REF!</v>
      </c>
      <c r="I88" s="142" t="e">
        <f t="shared" si="26"/>
        <v>#REF!</v>
      </c>
      <c r="J88" s="143" t="e">
        <f t="shared" si="30"/>
        <v>#REF!</v>
      </c>
      <c r="K88" s="143" t="e">
        <f t="shared" si="30"/>
        <v>#REF!</v>
      </c>
      <c r="L88" s="144" t="e">
        <f t="shared" si="30"/>
        <v>#REF!</v>
      </c>
      <c r="M88" s="145" t="e">
        <f t="shared" si="20"/>
        <v>#REF!</v>
      </c>
      <c r="N88" s="146" t="e">
        <f t="shared" si="31"/>
        <v>#REF!</v>
      </c>
      <c r="O88" s="146" t="e">
        <f t="shared" si="32"/>
        <v>#REF!</v>
      </c>
      <c r="P88" s="146" t="e">
        <f t="shared" si="33"/>
        <v>#REF!</v>
      </c>
      <c r="Q88" s="147" t="e">
        <f t="shared" si="34"/>
        <v>#REF!</v>
      </c>
      <c r="R88" s="148" t="e">
        <f t="shared" si="35"/>
        <v>#REF!</v>
      </c>
      <c r="S88" s="149" t="e">
        <f t="shared" si="27"/>
        <v>#REF!</v>
      </c>
      <c r="T88" s="149" t="e">
        <f t="shared" si="27"/>
        <v>#REF!</v>
      </c>
      <c r="U88" s="149" t="e">
        <f t="shared" si="28"/>
        <v>#REF!</v>
      </c>
      <c r="V88" s="148"/>
      <c r="W88" s="148" t="e">
        <f t="shared" si="36"/>
        <v>#REF!</v>
      </c>
      <c r="X88" s="148" t="e">
        <f t="shared" si="29"/>
        <v>#REF!</v>
      </c>
      <c r="Y88" s="148" t="e">
        <f t="shared" si="29"/>
        <v>#REF!</v>
      </c>
      <c r="Z88" s="148"/>
      <c r="AA88" s="148"/>
      <c r="AB88" s="148"/>
      <c r="AC88" s="148"/>
      <c r="AD88" s="148"/>
      <c r="AE88" s="150" t="e">
        <f t="shared" si="37"/>
        <v>#REF!</v>
      </c>
      <c r="AF88" s="154">
        <v>8</v>
      </c>
      <c r="AG88" s="162">
        <f t="shared" si="38"/>
        <v>16</v>
      </c>
      <c r="AH88" s="149">
        <f t="shared" si="39"/>
        <v>8</v>
      </c>
      <c r="AI88" s="149">
        <f t="shared" si="40"/>
        <v>2.6666666666666665</v>
      </c>
      <c r="AJ88" s="162">
        <v>3</v>
      </c>
      <c r="AK88" s="149"/>
      <c r="AL88" s="148"/>
      <c r="AM88" s="148"/>
      <c r="AN88" s="148"/>
      <c r="AO88" s="148"/>
      <c r="AP88" s="148"/>
      <c r="AQ88" s="148"/>
      <c r="AR88" s="148"/>
      <c r="AS88" s="148"/>
      <c r="AT88" s="148"/>
      <c r="AU88" s="150"/>
      <c r="AV88" s="154"/>
    </row>
    <row r="89" spans="1:48" ht="17.25" thickTop="1" thickBot="1" x14ac:dyDescent="0.3">
      <c r="A89" s="138" t="s">
        <v>193</v>
      </c>
      <c r="B89" s="153" t="s">
        <v>210</v>
      </c>
      <c r="C89" s="140" t="e">
        <f>'[1]Pop-Alvo-CNMenAfricVac por AS'!D95</f>
        <v>#REF!</v>
      </c>
      <c r="D89" s="141">
        <v>0.30113930605903677</v>
      </c>
      <c r="E89" s="141">
        <v>0.49637493526670118</v>
      </c>
      <c r="F89" s="141">
        <v>0.20248575867426205</v>
      </c>
      <c r="G89" s="142" t="e">
        <f t="shared" si="24"/>
        <v>#REF!</v>
      </c>
      <c r="H89" s="142" t="e">
        <f t="shared" si="25"/>
        <v>#REF!</v>
      </c>
      <c r="I89" s="142" t="e">
        <f t="shared" si="26"/>
        <v>#REF!</v>
      </c>
      <c r="J89" s="143" t="e">
        <f t="shared" si="30"/>
        <v>#REF!</v>
      </c>
      <c r="K89" s="143" t="e">
        <f t="shared" si="30"/>
        <v>#REF!</v>
      </c>
      <c r="L89" s="144" t="e">
        <f t="shared" si="30"/>
        <v>#REF!</v>
      </c>
      <c r="M89" s="145" t="e">
        <f t="shared" si="20"/>
        <v>#REF!</v>
      </c>
      <c r="N89" s="146" t="e">
        <f t="shared" si="31"/>
        <v>#REF!</v>
      </c>
      <c r="O89" s="146" t="e">
        <f t="shared" si="32"/>
        <v>#REF!</v>
      </c>
      <c r="P89" s="146" t="e">
        <f t="shared" si="33"/>
        <v>#REF!</v>
      </c>
      <c r="Q89" s="147" t="e">
        <f t="shared" si="34"/>
        <v>#REF!</v>
      </c>
      <c r="R89" s="148" t="e">
        <f t="shared" si="35"/>
        <v>#REF!</v>
      </c>
      <c r="S89" s="149" t="e">
        <f t="shared" si="27"/>
        <v>#REF!</v>
      </c>
      <c r="T89" s="149" t="e">
        <f t="shared" si="27"/>
        <v>#REF!</v>
      </c>
      <c r="U89" s="149" t="e">
        <f t="shared" si="28"/>
        <v>#REF!</v>
      </c>
      <c r="V89" s="148"/>
      <c r="W89" s="148" t="e">
        <f t="shared" si="36"/>
        <v>#REF!</v>
      </c>
      <c r="X89" s="148" t="e">
        <f t="shared" si="29"/>
        <v>#REF!</v>
      </c>
      <c r="Y89" s="148" t="e">
        <f t="shared" si="29"/>
        <v>#REF!</v>
      </c>
      <c r="Z89" s="148"/>
      <c r="AA89" s="148"/>
      <c r="AB89" s="148"/>
      <c r="AC89" s="148"/>
      <c r="AD89" s="148"/>
      <c r="AE89" s="150" t="e">
        <f t="shared" si="37"/>
        <v>#REF!</v>
      </c>
      <c r="AF89" s="154">
        <v>5</v>
      </c>
      <c r="AG89" s="162">
        <f t="shared" si="38"/>
        <v>10</v>
      </c>
      <c r="AH89" s="149">
        <f t="shared" si="39"/>
        <v>5</v>
      </c>
      <c r="AI89" s="149">
        <f t="shared" si="40"/>
        <v>1.6666666666666667</v>
      </c>
      <c r="AJ89" s="162">
        <v>2</v>
      </c>
      <c r="AK89" s="149"/>
      <c r="AL89" s="148"/>
      <c r="AM89" s="148"/>
      <c r="AN89" s="148"/>
      <c r="AO89" s="148"/>
      <c r="AP89" s="148"/>
      <c r="AQ89" s="148"/>
      <c r="AR89" s="148"/>
      <c r="AS89" s="148"/>
      <c r="AT89" s="148"/>
      <c r="AU89" s="150"/>
      <c r="AV89" s="154"/>
    </row>
    <row r="90" spans="1:48" ht="17.25" thickTop="1" thickBot="1" x14ac:dyDescent="0.3">
      <c r="A90" s="138" t="s">
        <v>193</v>
      </c>
      <c r="B90" s="153" t="s">
        <v>211</v>
      </c>
      <c r="C90" s="140" t="e">
        <f>'[1]Pop-Alvo-CNMenAfricVac por AS'!D96</f>
        <v>#REF!</v>
      </c>
      <c r="D90" s="141">
        <v>0.32179866765358994</v>
      </c>
      <c r="E90" s="141">
        <v>0.32401924500370094</v>
      </c>
      <c r="F90" s="141">
        <v>0.35418208734270912</v>
      </c>
      <c r="G90" s="142" t="e">
        <f t="shared" si="24"/>
        <v>#REF!</v>
      </c>
      <c r="H90" s="142" t="e">
        <f t="shared" si="25"/>
        <v>#REF!</v>
      </c>
      <c r="I90" s="142" t="e">
        <f t="shared" si="26"/>
        <v>#REF!</v>
      </c>
      <c r="J90" s="143" t="e">
        <f t="shared" si="30"/>
        <v>#REF!</v>
      </c>
      <c r="K90" s="143" t="e">
        <f t="shared" si="30"/>
        <v>#REF!</v>
      </c>
      <c r="L90" s="144" t="e">
        <f t="shared" si="30"/>
        <v>#REF!</v>
      </c>
      <c r="M90" s="145" t="e">
        <f t="shared" si="20"/>
        <v>#REF!</v>
      </c>
      <c r="N90" s="146" t="e">
        <f t="shared" si="31"/>
        <v>#REF!</v>
      </c>
      <c r="O90" s="146" t="e">
        <f t="shared" si="32"/>
        <v>#REF!</v>
      </c>
      <c r="P90" s="146" t="e">
        <f t="shared" si="33"/>
        <v>#REF!</v>
      </c>
      <c r="Q90" s="147" t="e">
        <f t="shared" si="34"/>
        <v>#REF!</v>
      </c>
      <c r="R90" s="148" t="e">
        <f t="shared" si="35"/>
        <v>#REF!</v>
      </c>
      <c r="S90" s="149" t="e">
        <f t="shared" si="27"/>
        <v>#REF!</v>
      </c>
      <c r="T90" s="149" t="e">
        <f t="shared" si="27"/>
        <v>#REF!</v>
      </c>
      <c r="U90" s="149" t="e">
        <f t="shared" si="28"/>
        <v>#REF!</v>
      </c>
      <c r="V90" s="148"/>
      <c r="W90" s="148" t="e">
        <f t="shared" si="36"/>
        <v>#REF!</v>
      </c>
      <c r="X90" s="148" t="e">
        <f t="shared" si="29"/>
        <v>#REF!</v>
      </c>
      <c r="Y90" s="148" t="e">
        <f t="shared" si="29"/>
        <v>#REF!</v>
      </c>
      <c r="Z90" s="148"/>
      <c r="AA90" s="148"/>
      <c r="AB90" s="148"/>
      <c r="AC90" s="148"/>
      <c r="AD90" s="148"/>
      <c r="AE90" s="150" t="e">
        <f t="shared" si="37"/>
        <v>#REF!</v>
      </c>
      <c r="AF90" s="154">
        <v>5</v>
      </c>
      <c r="AG90" s="162">
        <f t="shared" si="38"/>
        <v>10</v>
      </c>
      <c r="AH90" s="149">
        <f t="shared" si="39"/>
        <v>5</v>
      </c>
      <c r="AI90" s="149">
        <f t="shared" si="40"/>
        <v>1.6666666666666667</v>
      </c>
      <c r="AJ90" s="162">
        <v>2</v>
      </c>
      <c r="AK90" s="149"/>
      <c r="AL90" s="148"/>
      <c r="AM90" s="148"/>
      <c r="AN90" s="148"/>
      <c r="AO90" s="148"/>
      <c r="AP90" s="148"/>
      <c r="AQ90" s="148"/>
      <c r="AR90" s="148"/>
      <c r="AS90" s="148"/>
      <c r="AT90" s="148"/>
      <c r="AU90" s="150"/>
      <c r="AV90" s="154"/>
    </row>
    <row r="91" spans="1:48" ht="17.25" thickTop="1" thickBot="1" x14ac:dyDescent="0.3">
      <c r="A91" s="138" t="s">
        <v>212</v>
      </c>
      <c r="B91" s="153" t="s">
        <v>213</v>
      </c>
      <c r="C91" s="140" t="e">
        <f>'[1]Pop-Alvo-CNMenAfricVac por AS'!D97</f>
        <v>#REF!</v>
      </c>
      <c r="D91" s="141">
        <v>0.23034647550776582</v>
      </c>
      <c r="E91" s="141">
        <v>0.42293906810035842</v>
      </c>
      <c r="F91" s="141">
        <v>0.34671445639187576</v>
      </c>
      <c r="G91" s="142" t="e">
        <f t="shared" si="24"/>
        <v>#REF!</v>
      </c>
      <c r="H91" s="142" t="e">
        <f t="shared" si="25"/>
        <v>#REF!</v>
      </c>
      <c r="I91" s="142" t="e">
        <f t="shared" si="26"/>
        <v>#REF!</v>
      </c>
      <c r="J91" s="143" t="e">
        <f t="shared" si="30"/>
        <v>#REF!</v>
      </c>
      <c r="K91" s="143" t="e">
        <f t="shared" si="30"/>
        <v>#REF!</v>
      </c>
      <c r="L91" s="144" t="e">
        <f t="shared" si="30"/>
        <v>#REF!</v>
      </c>
      <c r="M91" s="145" t="e">
        <f t="shared" si="20"/>
        <v>#REF!</v>
      </c>
      <c r="N91" s="146" t="e">
        <f t="shared" si="31"/>
        <v>#REF!</v>
      </c>
      <c r="O91" s="146" t="e">
        <f t="shared" si="32"/>
        <v>#REF!</v>
      </c>
      <c r="P91" s="146" t="e">
        <f t="shared" si="33"/>
        <v>#REF!</v>
      </c>
      <c r="Q91" s="147" t="e">
        <f t="shared" si="34"/>
        <v>#REF!</v>
      </c>
      <c r="R91" s="148" t="e">
        <f t="shared" si="35"/>
        <v>#REF!</v>
      </c>
      <c r="S91" s="149" t="e">
        <f t="shared" si="27"/>
        <v>#REF!</v>
      </c>
      <c r="T91" s="149" t="e">
        <f t="shared" si="27"/>
        <v>#REF!</v>
      </c>
      <c r="U91" s="149" t="e">
        <f t="shared" si="28"/>
        <v>#REF!</v>
      </c>
      <c r="V91" s="148"/>
      <c r="W91" s="148" t="e">
        <f t="shared" si="36"/>
        <v>#REF!</v>
      </c>
      <c r="X91" s="148" t="e">
        <f t="shared" si="29"/>
        <v>#REF!</v>
      </c>
      <c r="Y91" s="148" t="e">
        <f t="shared" si="29"/>
        <v>#REF!</v>
      </c>
      <c r="Z91" s="148"/>
      <c r="AA91" s="148"/>
      <c r="AB91" s="148"/>
      <c r="AC91" s="148"/>
      <c r="AD91" s="148"/>
      <c r="AE91" s="150" t="e">
        <f t="shared" si="37"/>
        <v>#REF!</v>
      </c>
      <c r="AF91" s="154">
        <v>4</v>
      </c>
      <c r="AG91" s="163">
        <f t="shared" si="38"/>
        <v>8</v>
      </c>
      <c r="AH91" s="149">
        <f t="shared" si="39"/>
        <v>4</v>
      </c>
      <c r="AI91" s="149">
        <f t="shared" si="40"/>
        <v>1.3333333333333333</v>
      </c>
      <c r="AJ91" s="163">
        <v>1</v>
      </c>
      <c r="AK91" s="149"/>
      <c r="AL91" s="148"/>
      <c r="AM91" s="148"/>
      <c r="AN91" s="148"/>
      <c r="AO91" s="148"/>
      <c r="AP91" s="148"/>
      <c r="AQ91" s="148"/>
      <c r="AR91" s="148"/>
      <c r="AS91" s="148"/>
      <c r="AT91" s="148"/>
      <c r="AU91" s="150"/>
      <c r="AV91" s="154"/>
    </row>
    <row r="92" spans="1:48" ht="17.25" thickTop="1" thickBot="1" x14ac:dyDescent="0.3">
      <c r="A92" s="138" t="s">
        <v>212</v>
      </c>
      <c r="B92" s="153" t="s">
        <v>214</v>
      </c>
      <c r="C92" s="140" t="e">
        <f>'[1]Pop-Alvo-CNMenAfricVac por AS'!D98</f>
        <v>#REF!</v>
      </c>
      <c r="D92" s="141">
        <v>0.49117013181018482</v>
      </c>
      <c r="E92" s="141">
        <v>0.28368592198339482</v>
      </c>
      <c r="F92" s="141">
        <v>0.22514394620642036</v>
      </c>
      <c r="G92" s="142" t="e">
        <f t="shared" si="24"/>
        <v>#REF!</v>
      </c>
      <c r="H92" s="142" t="e">
        <f t="shared" si="25"/>
        <v>#REF!</v>
      </c>
      <c r="I92" s="142" t="e">
        <f t="shared" si="26"/>
        <v>#REF!</v>
      </c>
      <c r="J92" s="143" t="e">
        <f t="shared" si="30"/>
        <v>#REF!</v>
      </c>
      <c r="K92" s="143" t="e">
        <f t="shared" si="30"/>
        <v>#REF!</v>
      </c>
      <c r="L92" s="144" t="e">
        <f t="shared" si="30"/>
        <v>#REF!</v>
      </c>
      <c r="M92" s="145" t="e">
        <f t="shared" si="20"/>
        <v>#REF!</v>
      </c>
      <c r="N92" s="146" t="e">
        <f t="shared" si="31"/>
        <v>#REF!</v>
      </c>
      <c r="O92" s="146" t="e">
        <f t="shared" si="32"/>
        <v>#REF!</v>
      </c>
      <c r="P92" s="146" t="e">
        <f t="shared" si="33"/>
        <v>#REF!</v>
      </c>
      <c r="Q92" s="147" t="e">
        <f t="shared" si="34"/>
        <v>#REF!</v>
      </c>
      <c r="R92" s="148" t="e">
        <f t="shared" si="35"/>
        <v>#REF!</v>
      </c>
      <c r="S92" s="149" t="e">
        <f t="shared" si="27"/>
        <v>#REF!</v>
      </c>
      <c r="T92" s="149" t="e">
        <f t="shared" si="27"/>
        <v>#REF!</v>
      </c>
      <c r="U92" s="149" t="e">
        <f t="shared" si="28"/>
        <v>#REF!</v>
      </c>
      <c r="V92" s="148"/>
      <c r="W92" s="148" t="e">
        <f t="shared" si="36"/>
        <v>#REF!</v>
      </c>
      <c r="X92" s="148" t="e">
        <f t="shared" ref="X92:Y107" si="41">ROUND(IF(W92&lt;=15,W92,15),0)</f>
        <v>#REF!</v>
      </c>
      <c r="Y92" s="148" t="e">
        <f t="shared" si="41"/>
        <v>#REF!</v>
      </c>
      <c r="Z92" s="148"/>
      <c r="AA92" s="148"/>
      <c r="AB92" s="148"/>
      <c r="AC92" s="148"/>
      <c r="AD92" s="148"/>
      <c r="AE92" s="150" t="e">
        <f t="shared" si="37"/>
        <v>#REF!</v>
      </c>
      <c r="AF92" s="154">
        <v>14</v>
      </c>
      <c r="AG92" s="163">
        <f t="shared" si="38"/>
        <v>28</v>
      </c>
      <c r="AH92" s="149">
        <f t="shared" si="39"/>
        <v>14</v>
      </c>
      <c r="AI92" s="149">
        <f t="shared" si="40"/>
        <v>4.666666666666667</v>
      </c>
      <c r="AJ92" s="163">
        <v>5</v>
      </c>
      <c r="AK92" s="149"/>
      <c r="AL92" s="148"/>
      <c r="AM92" s="148"/>
      <c r="AN92" s="148"/>
      <c r="AO92" s="148"/>
      <c r="AP92" s="148"/>
      <c r="AQ92" s="148"/>
      <c r="AR92" s="148"/>
      <c r="AS92" s="148"/>
      <c r="AT92" s="148"/>
      <c r="AU92" s="150"/>
      <c r="AV92" s="154"/>
    </row>
    <row r="93" spans="1:48" ht="17.25" thickTop="1" thickBot="1" x14ac:dyDescent="0.3">
      <c r="A93" s="138" t="s">
        <v>212</v>
      </c>
      <c r="B93" s="153" t="s">
        <v>215</v>
      </c>
      <c r="C93" s="140" t="e">
        <f>'[1]Pop-Alvo-CNMenAfricVac por AS'!D99</f>
        <v>#REF!</v>
      </c>
      <c r="D93" s="141">
        <v>0.19870901360255985</v>
      </c>
      <c r="E93" s="141">
        <v>0.21446964497906496</v>
      </c>
      <c r="F93" s="141">
        <v>0.58682134141837539</v>
      </c>
      <c r="G93" s="142" t="e">
        <f t="shared" si="24"/>
        <v>#REF!</v>
      </c>
      <c r="H93" s="142" t="e">
        <f t="shared" si="25"/>
        <v>#REF!</v>
      </c>
      <c r="I93" s="142" t="e">
        <f t="shared" si="26"/>
        <v>#REF!</v>
      </c>
      <c r="J93" s="143" t="e">
        <f t="shared" si="30"/>
        <v>#REF!</v>
      </c>
      <c r="K93" s="143" t="e">
        <f t="shared" si="30"/>
        <v>#REF!</v>
      </c>
      <c r="L93" s="144" t="e">
        <f t="shared" si="30"/>
        <v>#REF!</v>
      </c>
      <c r="M93" s="145" t="e">
        <f t="shared" si="20"/>
        <v>#REF!</v>
      </c>
      <c r="N93" s="146" t="e">
        <f t="shared" si="31"/>
        <v>#REF!</v>
      </c>
      <c r="O93" s="146" t="e">
        <f t="shared" si="32"/>
        <v>#REF!</v>
      </c>
      <c r="P93" s="146" t="e">
        <f t="shared" si="33"/>
        <v>#REF!</v>
      </c>
      <c r="Q93" s="147" t="e">
        <f t="shared" si="34"/>
        <v>#REF!</v>
      </c>
      <c r="R93" s="148" t="e">
        <f t="shared" si="35"/>
        <v>#REF!</v>
      </c>
      <c r="S93" s="149" t="e">
        <f t="shared" si="27"/>
        <v>#REF!</v>
      </c>
      <c r="T93" s="149" t="e">
        <f t="shared" si="27"/>
        <v>#REF!</v>
      </c>
      <c r="U93" s="149" t="e">
        <f t="shared" si="28"/>
        <v>#REF!</v>
      </c>
      <c r="V93" s="148"/>
      <c r="W93" s="148" t="e">
        <f t="shared" si="36"/>
        <v>#REF!</v>
      </c>
      <c r="X93" s="148" t="e">
        <f t="shared" si="41"/>
        <v>#REF!</v>
      </c>
      <c r="Y93" s="148" t="e">
        <f t="shared" si="41"/>
        <v>#REF!</v>
      </c>
      <c r="Z93" s="148"/>
      <c r="AA93" s="148"/>
      <c r="AB93" s="148"/>
      <c r="AC93" s="148"/>
      <c r="AD93" s="148"/>
      <c r="AE93" s="150" t="e">
        <f t="shared" si="37"/>
        <v>#REF!</v>
      </c>
      <c r="AF93" s="154">
        <v>4</v>
      </c>
      <c r="AG93" s="163">
        <f t="shared" si="38"/>
        <v>8</v>
      </c>
      <c r="AH93" s="149">
        <f t="shared" si="39"/>
        <v>4</v>
      </c>
      <c r="AI93" s="149">
        <f t="shared" si="40"/>
        <v>1.3333333333333333</v>
      </c>
      <c r="AJ93" s="163">
        <v>1</v>
      </c>
      <c r="AK93" s="149"/>
      <c r="AL93" s="148"/>
      <c r="AM93" s="148"/>
      <c r="AN93" s="148"/>
      <c r="AO93" s="148"/>
      <c r="AP93" s="148"/>
      <c r="AQ93" s="148"/>
      <c r="AR93" s="148"/>
      <c r="AS93" s="148"/>
      <c r="AT93" s="148"/>
      <c r="AU93" s="150"/>
      <c r="AV93" s="154"/>
    </row>
    <row r="94" spans="1:48" ht="17.25" thickTop="1" thickBot="1" x14ac:dyDescent="0.3">
      <c r="A94" s="138" t="s">
        <v>212</v>
      </c>
      <c r="B94" s="153" t="s">
        <v>134</v>
      </c>
      <c r="C94" s="140" t="e">
        <f>'[1]Pop-Alvo-CNMenAfricVac por AS'!D100</f>
        <v>#REF!</v>
      </c>
      <c r="D94" s="141">
        <v>0.30269739192568773</v>
      </c>
      <c r="E94" s="141">
        <v>0.31475526973919254</v>
      </c>
      <c r="F94" s="141">
        <v>0.38254733833511967</v>
      </c>
      <c r="G94" s="142" t="e">
        <f t="shared" si="24"/>
        <v>#REF!</v>
      </c>
      <c r="H94" s="142" t="e">
        <f t="shared" si="25"/>
        <v>#REF!</v>
      </c>
      <c r="I94" s="142" t="e">
        <f t="shared" si="26"/>
        <v>#REF!</v>
      </c>
      <c r="J94" s="143" t="e">
        <f t="shared" si="30"/>
        <v>#REF!</v>
      </c>
      <c r="K94" s="143" t="e">
        <f t="shared" si="30"/>
        <v>#REF!</v>
      </c>
      <c r="L94" s="144" t="e">
        <f t="shared" si="30"/>
        <v>#REF!</v>
      </c>
      <c r="M94" s="145" t="e">
        <f t="shared" si="20"/>
        <v>#REF!</v>
      </c>
      <c r="N94" s="146" t="e">
        <f t="shared" si="31"/>
        <v>#REF!</v>
      </c>
      <c r="O94" s="146" t="e">
        <f t="shared" si="32"/>
        <v>#REF!</v>
      </c>
      <c r="P94" s="146" t="e">
        <f t="shared" si="33"/>
        <v>#REF!</v>
      </c>
      <c r="Q94" s="147" t="e">
        <f t="shared" si="34"/>
        <v>#REF!</v>
      </c>
      <c r="R94" s="148" t="e">
        <f t="shared" si="35"/>
        <v>#REF!</v>
      </c>
      <c r="S94" s="149" t="e">
        <f t="shared" si="27"/>
        <v>#REF!</v>
      </c>
      <c r="T94" s="149" t="e">
        <f t="shared" si="27"/>
        <v>#REF!</v>
      </c>
      <c r="U94" s="149" t="e">
        <f t="shared" si="28"/>
        <v>#REF!</v>
      </c>
      <c r="V94" s="148"/>
      <c r="W94" s="148" t="e">
        <f t="shared" si="36"/>
        <v>#REF!</v>
      </c>
      <c r="X94" s="148" t="e">
        <f t="shared" si="41"/>
        <v>#REF!</v>
      </c>
      <c r="Y94" s="148" t="e">
        <f t="shared" si="41"/>
        <v>#REF!</v>
      </c>
      <c r="Z94" s="148"/>
      <c r="AA94" s="148"/>
      <c r="AB94" s="148"/>
      <c r="AC94" s="148"/>
      <c r="AD94" s="148"/>
      <c r="AE94" s="150" t="e">
        <f t="shared" si="37"/>
        <v>#REF!</v>
      </c>
      <c r="AF94" s="154">
        <v>3</v>
      </c>
      <c r="AG94" s="163">
        <f t="shared" si="38"/>
        <v>6</v>
      </c>
      <c r="AH94" s="149">
        <f t="shared" si="39"/>
        <v>3</v>
      </c>
      <c r="AI94" s="149">
        <f t="shared" si="40"/>
        <v>1</v>
      </c>
      <c r="AJ94" s="163">
        <v>1</v>
      </c>
      <c r="AK94" s="149"/>
      <c r="AL94" s="148"/>
      <c r="AM94" s="148"/>
      <c r="AN94" s="148"/>
      <c r="AO94" s="148"/>
      <c r="AP94" s="148"/>
      <c r="AQ94" s="148"/>
      <c r="AR94" s="148"/>
      <c r="AS94" s="148"/>
      <c r="AT94" s="148"/>
      <c r="AU94" s="150"/>
      <c r="AV94" s="154"/>
    </row>
    <row r="95" spans="1:48" ht="17.25" thickTop="1" thickBot="1" x14ac:dyDescent="0.3">
      <c r="A95" s="138" t="s">
        <v>212</v>
      </c>
      <c r="B95" s="153" t="s">
        <v>216</v>
      </c>
      <c r="C95" s="140" t="e">
        <f>'[1]Pop-Alvo-CNMenAfricVac por AS'!D101</f>
        <v>#REF!</v>
      </c>
      <c r="D95" s="141">
        <v>0.4166802353160306</v>
      </c>
      <c r="E95" s="141">
        <v>0.42298420010167431</v>
      </c>
      <c r="F95" s="141">
        <v>0.1603355645822952</v>
      </c>
      <c r="G95" s="142" t="e">
        <f t="shared" si="24"/>
        <v>#REF!</v>
      </c>
      <c r="H95" s="142" t="e">
        <f t="shared" si="25"/>
        <v>#REF!</v>
      </c>
      <c r="I95" s="142" t="e">
        <f t="shared" si="26"/>
        <v>#REF!</v>
      </c>
      <c r="J95" s="143" t="e">
        <f t="shared" si="30"/>
        <v>#REF!</v>
      </c>
      <c r="K95" s="143" t="e">
        <f t="shared" si="30"/>
        <v>#REF!</v>
      </c>
      <c r="L95" s="144" t="e">
        <f t="shared" si="30"/>
        <v>#REF!</v>
      </c>
      <c r="M95" s="145" t="e">
        <f t="shared" si="20"/>
        <v>#REF!</v>
      </c>
      <c r="N95" s="146" t="e">
        <f t="shared" si="31"/>
        <v>#REF!</v>
      </c>
      <c r="O95" s="146" t="e">
        <f t="shared" si="32"/>
        <v>#REF!</v>
      </c>
      <c r="P95" s="146" t="e">
        <f t="shared" si="33"/>
        <v>#REF!</v>
      </c>
      <c r="Q95" s="147" t="e">
        <f t="shared" si="34"/>
        <v>#REF!</v>
      </c>
      <c r="R95" s="148" t="e">
        <f t="shared" si="35"/>
        <v>#REF!</v>
      </c>
      <c r="S95" s="149" t="e">
        <f t="shared" si="27"/>
        <v>#REF!</v>
      </c>
      <c r="T95" s="149" t="e">
        <f t="shared" si="27"/>
        <v>#REF!</v>
      </c>
      <c r="U95" s="149" t="e">
        <f t="shared" si="28"/>
        <v>#REF!</v>
      </c>
      <c r="V95" s="148"/>
      <c r="W95" s="148" t="e">
        <f t="shared" si="36"/>
        <v>#REF!</v>
      </c>
      <c r="X95" s="148" t="e">
        <f t="shared" si="41"/>
        <v>#REF!</v>
      </c>
      <c r="Y95" s="148" t="e">
        <f t="shared" si="41"/>
        <v>#REF!</v>
      </c>
      <c r="Z95" s="148"/>
      <c r="AA95" s="148"/>
      <c r="AB95" s="148"/>
      <c r="AC95" s="148"/>
      <c r="AD95" s="148"/>
      <c r="AE95" s="150" t="e">
        <f t="shared" si="37"/>
        <v>#REF!</v>
      </c>
      <c r="AF95" s="154">
        <v>7</v>
      </c>
      <c r="AG95" s="163">
        <f t="shared" si="38"/>
        <v>14</v>
      </c>
      <c r="AH95" s="149">
        <f t="shared" si="39"/>
        <v>7</v>
      </c>
      <c r="AI95" s="149">
        <f t="shared" si="40"/>
        <v>2.3333333333333335</v>
      </c>
      <c r="AJ95" s="163">
        <v>2</v>
      </c>
      <c r="AK95" s="149"/>
      <c r="AL95" s="148"/>
      <c r="AM95" s="148"/>
      <c r="AN95" s="148"/>
      <c r="AO95" s="148"/>
      <c r="AP95" s="148"/>
      <c r="AQ95" s="148"/>
      <c r="AR95" s="148"/>
      <c r="AS95" s="148"/>
      <c r="AT95" s="148"/>
      <c r="AU95" s="150"/>
      <c r="AV95" s="154"/>
    </row>
    <row r="96" spans="1:48" ht="17.25" thickTop="1" thickBot="1" x14ac:dyDescent="0.3">
      <c r="A96" s="138" t="s">
        <v>212</v>
      </c>
      <c r="B96" s="153" t="s">
        <v>217</v>
      </c>
      <c r="C96" s="140" t="e">
        <f>'[1]Pop-Alvo-CNMenAfricVac por AS'!D102</f>
        <v>#REF!</v>
      </c>
      <c r="D96" s="141">
        <v>0.29957531905411466</v>
      </c>
      <c r="E96" s="141">
        <v>0.35972417294025533</v>
      </c>
      <c r="F96" s="141">
        <v>0.34070050800563001</v>
      </c>
      <c r="G96" s="142" t="e">
        <f t="shared" si="24"/>
        <v>#REF!</v>
      </c>
      <c r="H96" s="142" t="e">
        <f t="shared" si="25"/>
        <v>#REF!</v>
      </c>
      <c r="I96" s="142" t="e">
        <f t="shared" si="26"/>
        <v>#REF!</v>
      </c>
      <c r="J96" s="143" t="e">
        <f t="shared" si="30"/>
        <v>#REF!</v>
      </c>
      <c r="K96" s="143" t="e">
        <f t="shared" si="30"/>
        <v>#REF!</v>
      </c>
      <c r="L96" s="144" t="e">
        <f t="shared" si="30"/>
        <v>#REF!</v>
      </c>
      <c r="M96" s="145" t="e">
        <f t="shared" si="20"/>
        <v>#REF!</v>
      </c>
      <c r="N96" s="146" t="e">
        <f t="shared" si="31"/>
        <v>#REF!</v>
      </c>
      <c r="O96" s="146" t="e">
        <f t="shared" si="32"/>
        <v>#REF!</v>
      </c>
      <c r="P96" s="146" t="e">
        <f t="shared" si="33"/>
        <v>#REF!</v>
      </c>
      <c r="Q96" s="147" t="e">
        <f t="shared" si="34"/>
        <v>#REF!</v>
      </c>
      <c r="R96" s="148" t="e">
        <f t="shared" si="35"/>
        <v>#REF!</v>
      </c>
      <c r="S96" s="149" t="e">
        <f t="shared" si="27"/>
        <v>#REF!</v>
      </c>
      <c r="T96" s="149" t="e">
        <f t="shared" si="27"/>
        <v>#REF!</v>
      </c>
      <c r="U96" s="149" t="e">
        <f t="shared" si="28"/>
        <v>#REF!</v>
      </c>
      <c r="V96" s="148"/>
      <c r="W96" s="148" t="e">
        <f t="shared" si="36"/>
        <v>#REF!</v>
      </c>
      <c r="X96" s="148" t="e">
        <f t="shared" si="41"/>
        <v>#REF!</v>
      </c>
      <c r="Y96" s="148" t="e">
        <f t="shared" si="41"/>
        <v>#REF!</v>
      </c>
      <c r="Z96" s="148"/>
      <c r="AA96" s="148"/>
      <c r="AB96" s="148"/>
      <c r="AC96" s="148"/>
      <c r="AD96" s="148"/>
      <c r="AE96" s="150" t="e">
        <f t="shared" si="37"/>
        <v>#REF!</v>
      </c>
      <c r="AF96" s="154">
        <v>15</v>
      </c>
      <c r="AG96" s="163">
        <f t="shared" si="38"/>
        <v>30</v>
      </c>
      <c r="AH96" s="149">
        <f t="shared" si="39"/>
        <v>15</v>
      </c>
      <c r="AI96" s="149">
        <f t="shared" si="40"/>
        <v>5</v>
      </c>
      <c r="AJ96" s="163">
        <v>5</v>
      </c>
      <c r="AK96" s="149">
        <v>5</v>
      </c>
      <c r="AL96" s="148"/>
      <c r="AM96" s="148"/>
      <c r="AN96" s="148"/>
      <c r="AO96" s="148"/>
      <c r="AP96" s="148"/>
      <c r="AQ96" s="148"/>
      <c r="AR96" s="148"/>
      <c r="AS96" s="148"/>
      <c r="AT96" s="148"/>
      <c r="AU96" s="150"/>
      <c r="AV96" s="154"/>
    </row>
    <row r="97" spans="1:48" ht="17.25" thickTop="1" thickBot="1" x14ac:dyDescent="0.3">
      <c r="A97" s="138" t="s">
        <v>212</v>
      </c>
      <c r="B97" s="153" t="s">
        <v>218</v>
      </c>
      <c r="C97" s="140" t="e">
        <f>'[1]Pop-Alvo-CNMenAfricVac por AS'!D103</f>
        <v>#REF!</v>
      </c>
      <c r="D97" s="141">
        <v>0.51089509594634819</v>
      </c>
      <c r="E97" s="141">
        <v>0.48910490405365165</v>
      </c>
      <c r="F97" s="141">
        <v>0</v>
      </c>
      <c r="G97" s="142" t="e">
        <f t="shared" si="24"/>
        <v>#REF!</v>
      </c>
      <c r="H97" s="142" t="e">
        <f t="shared" si="25"/>
        <v>#REF!</v>
      </c>
      <c r="I97" s="142" t="e">
        <f t="shared" si="26"/>
        <v>#REF!</v>
      </c>
      <c r="J97" s="143" t="e">
        <f t="shared" si="30"/>
        <v>#REF!</v>
      </c>
      <c r="K97" s="143" t="e">
        <f t="shared" si="30"/>
        <v>#REF!</v>
      </c>
      <c r="L97" s="144" t="e">
        <f t="shared" si="30"/>
        <v>#REF!</v>
      </c>
      <c r="M97" s="145" t="e">
        <f t="shared" si="20"/>
        <v>#REF!</v>
      </c>
      <c r="N97" s="146" t="e">
        <f t="shared" si="31"/>
        <v>#REF!</v>
      </c>
      <c r="O97" s="146" t="e">
        <f t="shared" si="32"/>
        <v>#REF!</v>
      </c>
      <c r="P97" s="146" t="e">
        <f t="shared" si="33"/>
        <v>#REF!</v>
      </c>
      <c r="Q97" s="147" t="e">
        <f t="shared" si="34"/>
        <v>#REF!</v>
      </c>
      <c r="R97" s="148" t="e">
        <f t="shared" si="35"/>
        <v>#REF!</v>
      </c>
      <c r="S97" s="149" t="e">
        <f t="shared" si="27"/>
        <v>#REF!</v>
      </c>
      <c r="T97" s="149" t="e">
        <f t="shared" si="27"/>
        <v>#REF!</v>
      </c>
      <c r="U97" s="149" t="e">
        <f t="shared" si="28"/>
        <v>#REF!</v>
      </c>
      <c r="V97" s="148"/>
      <c r="W97" s="148" t="e">
        <f t="shared" si="36"/>
        <v>#REF!</v>
      </c>
      <c r="X97" s="148" t="e">
        <f t="shared" si="41"/>
        <v>#REF!</v>
      </c>
      <c r="Y97" s="148" t="e">
        <f t="shared" si="41"/>
        <v>#REF!</v>
      </c>
      <c r="Z97" s="148"/>
      <c r="AA97" s="148"/>
      <c r="AB97" s="148"/>
      <c r="AC97" s="148"/>
      <c r="AD97" s="148"/>
      <c r="AE97" s="150" t="e">
        <f t="shared" si="37"/>
        <v>#REF!</v>
      </c>
      <c r="AF97" s="154">
        <v>3</v>
      </c>
      <c r="AG97" s="163">
        <f t="shared" si="38"/>
        <v>6</v>
      </c>
      <c r="AH97" s="149">
        <f t="shared" si="39"/>
        <v>3</v>
      </c>
      <c r="AI97" s="149">
        <f t="shared" si="40"/>
        <v>1</v>
      </c>
      <c r="AJ97" s="163">
        <v>1</v>
      </c>
      <c r="AK97" s="149"/>
      <c r="AL97" s="148"/>
      <c r="AM97" s="148"/>
      <c r="AN97" s="148"/>
      <c r="AO97" s="148"/>
      <c r="AP97" s="148"/>
      <c r="AQ97" s="148"/>
      <c r="AR97" s="148"/>
      <c r="AS97" s="148"/>
      <c r="AT97" s="148"/>
      <c r="AU97" s="150"/>
      <c r="AV97" s="154"/>
    </row>
    <row r="98" spans="1:48" ht="17.25" thickTop="1" thickBot="1" x14ac:dyDescent="0.3">
      <c r="A98" s="138" t="s">
        <v>212</v>
      </c>
      <c r="B98" s="153" t="s">
        <v>219</v>
      </c>
      <c r="C98" s="140" t="e">
        <f>'[1]Pop-Alvo-CNMenAfricVac por AS'!D104</f>
        <v>#REF!</v>
      </c>
      <c r="D98" s="141">
        <v>0.41870313927790426</v>
      </c>
      <c r="E98" s="141">
        <v>0.38587757019167018</v>
      </c>
      <c r="F98" s="141">
        <v>0.19542460209203133</v>
      </c>
      <c r="G98" s="142" t="e">
        <f t="shared" si="24"/>
        <v>#REF!</v>
      </c>
      <c r="H98" s="142" t="e">
        <f t="shared" si="25"/>
        <v>#REF!</v>
      </c>
      <c r="I98" s="142" t="e">
        <f t="shared" si="26"/>
        <v>#REF!</v>
      </c>
      <c r="J98" s="143" t="e">
        <f t="shared" si="30"/>
        <v>#REF!</v>
      </c>
      <c r="K98" s="143" t="e">
        <f t="shared" si="30"/>
        <v>#REF!</v>
      </c>
      <c r="L98" s="144" t="e">
        <f t="shared" si="30"/>
        <v>#REF!</v>
      </c>
      <c r="M98" s="145" t="e">
        <f t="shared" si="20"/>
        <v>#REF!</v>
      </c>
      <c r="N98" s="146" t="e">
        <f t="shared" si="31"/>
        <v>#REF!</v>
      </c>
      <c r="O98" s="146" t="e">
        <f t="shared" si="32"/>
        <v>#REF!</v>
      </c>
      <c r="P98" s="146" t="e">
        <f t="shared" si="33"/>
        <v>#REF!</v>
      </c>
      <c r="Q98" s="147" t="e">
        <f t="shared" si="34"/>
        <v>#REF!</v>
      </c>
      <c r="R98" s="148" t="e">
        <f t="shared" si="35"/>
        <v>#REF!</v>
      </c>
      <c r="S98" s="149" t="e">
        <f t="shared" si="27"/>
        <v>#REF!</v>
      </c>
      <c r="T98" s="149" t="e">
        <f t="shared" si="27"/>
        <v>#REF!</v>
      </c>
      <c r="U98" s="149" t="e">
        <f t="shared" si="28"/>
        <v>#REF!</v>
      </c>
      <c r="V98" s="148"/>
      <c r="W98" s="148" t="e">
        <f t="shared" si="36"/>
        <v>#REF!</v>
      </c>
      <c r="X98" s="148" t="e">
        <f t="shared" si="41"/>
        <v>#REF!</v>
      </c>
      <c r="Y98" s="148" t="e">
        <f t="shared" si="41"/>
        <v>#REF!</v>
      </c>
      <c r="Z98" s="148"/>
      <c r="AA98" s="148"/>
      <c r="AB98" s="148"/>
      <c r="AC98" s="148"/>
      <c r="AD98" s="148"/>
      <c r="AE98" s="150" t="e">
        <f t="shared" si="37"/>
        <v>#REF!</v>
      </c>
      <c r="AF98" s="154">
        <v>12</v>
      </c>
      <c r="AG98" s="163">
        <f t="shared" si="38"/>
        <v>24</v>
      </c>
      <c r="AH98" s="149">
        <f t="shared" si="39"/>
        <v>12</v>
      </c>
      <c r="AI98" s="149">
        <f t="shared" si="40"/>
        <v>4</v>
      </c>
      <c r="AJ98" s="163">
        <v>4</v>
      </c>
      <c r="AK98" s="149"/>
      <c r="AL98" s="148"/>
      <c r="AM98" s="148"/>
      <c r="AN98" s="148"/>
      <c r="AO98" s="148"/>
      <c r="AP98" s="148"/>
      <c r="AQ98" s="148"/>
      <c r="AR98" s="148"/>
      <c r="AS98" s="148"/>
      <c r="AT98" s="148"/>
      <c r="AU98" s="150"/>
      <c r="AV98" s="154"/>
    </row>
    <row r="99" spans="1:48" ht="17.25" thickTop="1" thickBot="1" x14ac:dyDescent="0.3">
      <c r="A99" s="138" t="s">
        <v>212</v>
      </c>
      <c r="B99" s="153" t="s">
        <v>220</v>
      </c>
      <c r="C99" s="140" t="e">
        <f>'[1]Pop-Alvo-CNMenAfricVac por AS'!D105</f>
        <v>#REF!</v>
      </c>
      <c r="D99" s="141">
        <v>0.30445651633644466</v>
      </c>
      <c r="E99" s="141">
        <v>0.57213472542162558</v>
      </c>
      <c r="F99" s="141">
        <v>0.12340875824192983</v>
      </c>
      <c r="G99" s="142" t="e">
        <f t="shared" si="24"/>
        <v>#REF!</v>
      </c>
      <c r="H99" s="142" t="e">
        <f t="shared" si="25"/>
        <v>#REF!</v>
      </c>
      <c r="I99" s="142" t="e">
        <f t="shared" si="26"/>
        <v>#REF!</v>
      </c>
      <c r="J99" s="143" t="e">
        <f t="shared" si="30"/>
        <v>#REF!</v>
      </c>
      <c r="K99" s="143" t="e">
        <f t="shared" si="30"/>
        <v>#REF!</v>
      </c>
      <c r="L99" s="144" t="e">
        <f t="shared" si="30"/>
        <v>#REF!</v>
      </c>
      <c r="M99" s="145" t="e">
        <f t="shared" si="20"/>
        <v>#REF!</v>
      </c>
      <c r="N99" s="146" t="e">
        <f t="shared" si="31"/>
        <v>#REF!</v>
      </c>
      <c r="O99" s="146" t="e">
        <f t="shared" si="32"/>
        <v>#REF!</v>
      </c>
      <c r="P99" s="146" t="e">
        <f t="shared" si="33"/>
        <v>#REF!</v>
      </c>
      <c r="Q99" s="147" t="e">
        <f t="shared" si="34"/>
        <v>#REF!</v>
      </c>
      <c r="R99" s="148" t="e">
        <f t="shared" si="35"/>
        <v>#REF!</v>
      </c>
      <c r="S99" s="149" t="e">
        <f t="shared" si="27"/>
        <v>#REF!</v>
      </c>
      <c r="T99" s="149" t="e">
        <f t="shared" si="27"/>
        <v>#REF!</v>
      </c>
      <c r="U99" s="149" t="e">
        <f t="shared" si="28"/>
        <v>#REF!</v>
      </c>
      <c r="V99" s="148"/>
      <c r="W99" s="148" t="e">
        <f t="shared" si="36"/>
        <v>#REF!</v>
      </c>
      <c r="X99" s="148" t="e">
        <f t="shared" si="41"/>
        <v>#REF!</v>
      </c>
      <c r="Y99" s="148" t="e">
        <f t="shared" si="41"/>
        <v>#REF!</v>
      </c>
      <c r="Z99" s="148"/>
      <c r="AA99" s="148"/>
      <c r="AB99" s="148"/>
      <c r="AC99" s="148"/>
      <c r="AD99" s="148"/>
      <c r="AE99" s="150" t="e">
        <f t="shared" si="37"/>
        <v>#REF!</v>
      </c>
      <c r="AF99" s="154">
        <v>8</v>
      </c>
      <c r="AG99" s="163">
        <f t="shared" si="38"/>
        <v>16</v>
      </c>
      <c r="AH99" s="149">
        <f t="shared" si="39"/>
        <v>8</v>
      </c>
      <c r="AI99" s="149">
        <f t="shared" si="40"/>
        <v>2.6666666666666665</v>
      </c>
      <c r="AJ99" s="163">
        <v>3</v>
      </c>
      <c r="AK99" s="149"/>
      <c r="AL99" s="148"/>
      <c r="AM99" s="148"/>
      <c r="AN99" s="148"/>
      <c r="AO99" s="148"/>
      <c r="AP99" s="148"/>
      <c r="AQ99" s="148"/>
      <c r="AR99" s="148"/>
      <c r="AS99" s="148"/>
      <c r="AT99" s="148"/>
      <c r="AU99" s="150"/>
      <c r="AV99" s="154"/>
    </row>
    <row r="100" spans="1:48" ht="17.25" thickTop="1" thickBot="1" x14ac:dyDescent="0.3">
      <c r="A100" s="138" t="s">
        <v>212</v>
      </c>
      <c r="B100" s="153" t="s">
        <v>221</v>
      </c>
      <c r="C100" s="140" t="e">
        <f>'[1]Pop-Alvo-CNMenAfricVac por AS'!D106</f>
        <v>#REF!</v>
      </c>
      <c r="D100" s="141">
        <v>6.9958158995815894E-2</v>
      </c>
      <c r="E100" s="141">
        <v>0.30493723849372384</v>
      </c>
      <c r="F100" s="141">
        <v>0.62510460251046029</v>
      </c>
      <c r="G100" s="142" t="e">
        <f t="shared" si="24"/>
        <v>#REF!</v>
      </c>
      <c r="H100" s="142" t="e">
        <f t="shared" si="25"/>
        <v>#REF!</v>
      </c>
      <c r="I100" s="142" t="e">
        <f t="shared" si="26"/>
        <v>#REF!</v>
      </c>
      <c r="J100" s="143" t="e">
        <f t="shared" si="30"/>
        <v>#REF!</v>
      </c>
      <c r="K100" s="143" t="e">
        <f t="shared" si="30"/>
        <v>#REF!</v>
      </c>
      <c r="L100" s="144" t="e">
        <f t="shared" si="30"/>
        <v>#REF!</v>
      </c>
      <c r="M100" s="145" t="e">
        <f t="shared" si="20"/>
        <v>#REF!</v>
      </c>
      <c r="N100" s="146" t="e">
        <f t="shared" si="31"/>
        <v>#REF!</v>
      </c>
      <c r="O100" s="146" t="e">
        <f t="shared" si="32"/>
        <v>#REF!</v>
      </c>
      <c r="P100" s="146" t="e">
        <f t="shared" si="33"/>
        <v>#REF!</v>
      </c>
      <c r="Q100" s="147" t="e">
        <f t="shared" si="34"/>
        <v>#REF!</v>
      </c>
      <c r="R100" s="148" t="e">
        <f t="shared" si="35"/>
        <v>#REF!</v>
      </c>
      <c r="S100" s="149" t="e">
        <f t="shared" si="27"/>
        <v>#REF!</v>
      </c>
      <c r="T100" s="149" t="e">
        <f t="shared" si="27"/>
        <v>#REF!</v>
      </c>
      <c r="U100" s="149" t="e">
        <f t="shared" si="28"/>
        <v>#REF!</v>
      </c>
      <c r="V100" s="148"/>
      <c r="W100" s="148" t="e">
        <f t="shared" si="36"/>
        <v>#REF!</v>
      </c>
      <c r="X100" s="148" t="e">
        <f t="shared" si="41"/>
        <v>#REF!</v>
      </c>
      <c r="Y100" s="148" t="e">
        <f t="shared" si="41"/>
        <v>#REF!</v>
      </c>
      <c r="Z100" s="148"/>
      <c r="AA100" s="148"/>
      <c r="AB100" s="148"/>
      <c r="AC100" s="148"/>
      <c r="AD100" s="148"/>
      <c r="AE100" s="150" t="e">
        <f t="shared" si="37"/>
        <v>#REF!</v>
      </c>
      <c r="AF100" s="154">
        <v>2</v>
      </c>
      <c r="AG100" s="163">
        <f t="shared" si="38"/>
        <v>4</v>
      </c>
      <c r="AH100" s="149">
        <f t="shared" si="39"/>
        <v>2</v>
      </c>
      <c r="AI100" s="149">
        <f t="shared" si="40"/>
        <v>0.66666666666666663</v>
      </c>
      <c r="AJ100" s="163">
        <v>1</v>
      </c>
      <c r="AK100" s="149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50"/>
      <c r="AV100" s="154"/>
    </row>
    <row r="101" spans="1:48" ht="17.25" thickTop="1" thickBot="1" x14ac:dyDescent="0.3">
      <c r="A101" s="138" t="s">
        <v>222</v>
      </c>
      <c r="B101" s="153" t="s">
        <v>223</v>
      </c>
      <c r="C101" s="140" t="e">
        <f>'[1]Pop-Alvo-CNMenAfricVac por AS'!D107</f>
        <v>#REF!</v>
      </c>
      <c r="D101" s="141">
        <v>0.26531682752832603</v>
      </c>
      <c r="E101" s="141">
        <v>0.31986991187578701</v>
      </c>
      <c r="F101" s="141">
        <v>0.41481326059588802</v>
      </c>
      <c r="G101" s="142" t="e">
        <f t="shared" si="24"/>
        <v>#REF!</v>
      </c>
      <c r="H101" s="142" t="e">
        <f t="shared" si="25"/>
        <v>#REF!</v>
      </c>
      <c r="I101" s="142" t="e">
        <f t="shared" si="26"/>
        <v>#REF!</v>
      </c>
      <c r="J101" s="143" t="e">
        <f t="shared" si="30"/>
        <v>#REF!</v>
      </c>
      <c r="K101" s="143" t="e">
        <f t="shared" si="30"/>
        <v>#REF!</v>
      </c>
      <c r="L101" s="144" t="e">
        <f t="shared" si="30"/>
        <v>#REF!</v>
      </c>
      <c r="M101" s="145" t="e">
        <f t="shared" si="20"/>
        <v>#REF!</v>
      </c>
      <c r="N101" s="146" t="e">
        <f t="shared" si="31"/>
        <v>#REF!</v>
      </c>
      <c r="O101" s="146" t="e">
        <f t="shared" si="32"/>
        <v>#REF!</v>
      </c>
      <c r="P101" s="146" t="e">
        <f t="shared" si="33"/>
        <v>#REF!</v>
      </c>
      <c r="Q101" s="147" t="e">
        <f t="shared" si="34"/>
        <v>#REF!</v>
      </c>
      <c r="R101" s="148" t="e">
        <f t="shared" si="35"/>
        <v>#REF!</v>
      </c>
      <c r="S101" s="149" t="e">
        <f t="shared" si="27"/>
        <v>#REF!</v>
      </c>
      <c r="T101" s="149" t="e">
        <f t="shared" si="27"/>
        <v>#REF!</v>
      </c>
      <c r="U101" s="149" t="e">
        <f t="shared" si="28"/>
        <v>#REF!</v>
      </c>
      <c r="V101" s="148"/>
      <c r="W101" s="148" t="e">
        <f t="shared" si="36"/>
        <v>#REF!</v>
      </c>
      <c r="X101" s="148" t="e">
        <f t="shared" si="41"/>
        <v>#REF!</v>
      </c>
      <c r="Y101" s="148" t="e">
        <f t="shared" si="41"/>
        <v>#REF!</v>
      </c>
      <c r="Z101" s="148"/>
      <c r="AA101" s="148"/>
      <c r="AB101" s="148"/>
      <c r="AC101" s="148"/>
      <c r="AD101" s="148"/>
      <c r="AE101" s="150" t="e">
        <f t="shared" si="37"/>
        <v>#REF!</v>
      </c>
      <c r="AF101" s="154">
        <v>3</v>
      </c>
      <c r="AG101" s="164">
        <f t="shared" si="38"/>
        <v>6</v>
      </c>
      <c r="AH101" s="149">
        <f t="shared" si="39"/>
        <v>3</v>
      </c>
      <c r="AI101" s="149">
        <f t="shared" si="40"/>
        <v>1</v>
      </c>
      <c r="AJ101" s="164">
        <v>1</v>
      </c>
      <c r="AK101" s="149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50"/>
      <c r="AV101" s="154"/>
    </row>
    <row r="102" spans="1:48" ht="17.25" thickTop="1" thickBot="1" x14ac:dyDescent="0.3">
      <c r="A102" s="138" t="s">
        <v>222</v>
      </c>
      <c r="B102" s="153" t="s">
        <v>224</v>
      </c>
      <c r="C102" s="140" t="e">
        <f>'[1]Pop-Alvo-CNMenAfricVac por AS'!D108</f>
        <v>#REF!</v>
      </c>
      <c r="D102" s="141">
        <v>0.475900520871543</v>
      </c>
      <c r="E102" s="141">
        <v>0.11242755483823599</v>
      </c>
      <c r="F102" s="141">
        <v>0.41167192429022098</v>
      </c>
      <c r="G102" s="142" t="e">
        <f t="shared" si="24"/>
        <v>#REF!</v>
      </c>
      <c r="H102" s="142" t="e">
        <f t="shared" si="25"/>
        <v>#REF!</v>
      </c>
      <c r="I102" s="142" t="e">
        <f t="shared" si="26"/>
        <v>#REF!</v>
      </c>
      <c r="J102" s="143" t="e">
        <f t="shared" si="30"/>
        <v>#REF!</v>
      </c>
      <c r="K102" s="143" t="e">
        <f t="shared" si="30"/>
        <v>#REF!</v>
      </c>
      <c r="L102" s="144" t="e">
        <f t="shared" si="30"/>
        <v>#REF!</v>
      </c>
      <c r="M102" s="145" t="e">
        <f t="shared" si="20"/>
        <v>#REF!</v>
      </c>
      <c r="N102" s="146" t="e">
        <f t="shared" si="31"/>
        <v>#REF!</v>
      </c>
      <c r="O102" s="146" t="e">
        <f t="shared" si="32"/>
        <v>#REF!</v>
      </c>
      <c r="P102" s="146" t="e">
        <f t="shared" si="33"/>
        <v>#REF!</v>
      </c>
      <c r="Q102" s="147" t="e">
        <f t="shared" si="34"/>
        <v>#REF!</v>
      </c>
      <c r="R102" s="148" t="e">
        <f t="shared" si="35"/>
        <v>#REF!</v>
      </c>
      <c r="S102" s="149" t="e">
        <f t="shared" si="27"/>
        <v>#REF!</v>
      </c>
      <c r="T102" s="149" t="e">
        <f t="shared" si="27"/>
        <v>#REF!</v>
      </c>
      <c r="U102" s="149" t="e">
        <f t="shared" si="28"/>
        <v>#REF!</v>
      </c>
      <c r="V102" s="148"/>
      <c r="W102" s="148" t="e">
        <f t="shared" si="36"/>
        <v>#REF!</v>
      </c>
      <c r="X102" s="148" t="e">
        <f t="shared" si="41"/>
        <v>#REF!</v>
      </c>
      <c r="Y102" s="148" t="e">
        <f t="shared" si="41"/>
        <v>#REF!</v>
      </c>
      <c r="Z102" s="148"/>
      <c r="AA102" s="148"/>
      <c r="AB102" s="148"/>
      <c r="AC102" s="148"/>
      <c r="AD102" s="148"/>
      <c r="AE102" s="150" t="e">
        <f t="shared" si="37"/>
        <v>#REF!</v>
      </c>
      <c r="AF102" s="154">
        <v>9</v>
      </c>
      <c r="AG102" s="164">
        <f t="shared" si="38"/>
        <v>18</v>
      </c>
      <c r="AH102" s="149">
        <f t="shared" si="39"/>
        <v>9</v>
      </c>
      <c r="AI102" s="149">
        <f t="shared" si="40"/>
        <v>3</v>
      </c>
      <c r="AJ102" s="164">
        <v>3</v>
      </c>
      <c r="AK102" s="149">
        <v>3</v>
      </c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50"/>
      <c r="AV102" s="154"/>
    </row>
    <row r="103" spans="1:48" ht="17.25" thickTop="1" thickBot="1" x14ac:dyDescent="0.3">
      <c r="A103" s="138" t="s">
        <v>222</v>
      </c>
      <c r="B103" s="153" t="s">
        <v>225</v>
      </c>
      <c r="C103" s="140" t="e">
        <f>'[1]Pop-Alvo-CNMenAfricVac por AS'!D109</f>
        <v>#REF!</v>
      </c>
      <c r="D103" s="141">
        <v>0.23881416415042001</v>
      </c>
      <c r="E103" s="141">
        <v>0.455256656601702</v>
      </c>
      <c r="F103" s="141">
        <v>0.305929179247873</v>
      </c>
      <c r="G103" s="142" t="e">
        <f t="shared" si="24"/>
        <v>#REF!</v>
      </c>
      <c r="H103" s="142" t="e">
        <f t="shared" si="25"/>
        <v>#REF!</v>
      </c>
      <c r="I103" s="142" t="e">
        <f t="shared" si="26"/>
        <v>#REF!</v>
      </c>
      <c r="J103" s="143" t="e">
        <f t="shared" si="30"/>
        <v>#REF!</v>
      </c>
      <c r="K103" s="143" t="e">
        <f t="shared" si="30"/>
        <v>#REF!</v>
      </c>
      <c r="L103" s="144" t="e">
        <f t="shared" si="30"/>
        <v>#REF!</v>
      </c>
      <c r="M103" s="145" t="e">
        <f t="shared" si="20"/>
        <v>#REF!</v>
      </c>
      <c r="N103" s="146" t="e">
        <f t="shared" si="31"/>
        <v>#REF!</v>
      </c>
      <c r="O103" s="146" t="e">
        <f t="shared" si="32"/>
        <v>#REF!</v>
      </c>
      <c r="P103" s="146" t="e">
        <f t="shared" si="33"/>
        <v>#REF!</v>
      </c>
      <c r="Q103" s="147" t="e">
        <f t="shared" si="34"/>
        <v>#REF!</v>
      </c>
      <c r="R103" s="148" t="e">
        <f t="shared" si="35"/>
        <v>#REF!</v>
      </c>
      <c r="S103" s="149" t="e">
        <f t="shared" si="27"/>
        <v>#REF!</v>
      </c>
      <c r="T103" s="149" t="e">
        <f t="shared" si="27"/>
        <v>#REF!</v>
      </c>
      <c r="U103" s="149" t="e">
        <f t="shared" si="28"/>
        <v>#REF!</v>
      </c>
      <c r="V103" s="148"/>
      <c r="W103" s="148" t="e">
        <f t="shared" si="36"/>
        <v>#REF!</v>
      </c>
      <c r="X103" s="148" t="e">
        <f t="shared" si="41"/>
        <v>#REF!</v>
      </c>
      <c r="Y103" s="148" t="e">
        <f t="shared" si="41"/>
        <v>#REF!</v>
      </c>
      <c r="Z103" s="148"/>
      <c r="AA103" s="148"/>
      <c r="AB103" s="148"/>
      <c r="AC103" s="148"/>
      <c r="AD103" s="148"/>
      <c r="AE103" s="150" t="e">
        <f t="shared" si="37"/>
        <v>#REF!</v>
      </c>
      <c r="AF103" s="154">
        <v>2</v>
      </c>
      <c r="AG103" s="164">
        <f t="shared" si="38"/>
        <v>4</v>
      </c>
      <c r="AH103" s="149">
        <f t="shared" si="39"/>
        <v>2</v>
      </c>
      <c r="AI103" s="149">
        <f t="shared" si="40"/>
        <v>0.66666666666666663</v>
      </c>
      <c r="AJ103" s="164">
        <v>1</v>
      </c>
      <c r="AK103" s="149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50"/>
      <c r="AV103" s="154"/>
    </row>
    <row r="104" spans="1:48" ht="17.25" thickTop="1" thickBot="1" x14ac:dyDescent="0.3">
      <c r="A104" s="138" t="s">
        <v>222</v>
      </c>
      <c r="B104" s="153" t="s">
        <v>226</v>
      </c>
      <c r="C104" s="140" t="e">
        <f>'[1]Pop-Alvo-CNMenAfricVac por AS'!D110</f>
        <v>#REF!</v>
      </c>
      <c r="D104" s="141">
        <v>0.315373208106772</v>
      </c>
      <c r="E104" s="141">
        <v>0.54479733069698499</v>
      </c>
      <c r="F104" s="141">
        <v>0.13982946119624301</v>
      </c>
      <c r="G104" s="142" t="e">
        <f t="shared" si="24"/>
        <v>#REF!</v>
      </c>
      <c r="H104" s="142" t="e">
        <f t="shared" si="25"/>
        <v>#REF!</v>
      </c>
      <c r="I104" s="142" t="e">
        <f t="shared" si="26"/>
        <v>#REF!</v>
      </c>
      <c r="J104" s="143" t="e">
        <f t="shared" si="30"/>
        <v>#REF!</v>
      </c>
      <c r="K104" s="143" t="e">
        <f t="shared" si="30"/>
        <v>#REF!</v>
      </c>
      <c r="L104" s="144" t="e">
        <f t="shared" si="30"/>
        <v>#REF!</v>
      </c>
      <c r="M104" s="145" t="e">
        <f t="shared" si="20"/>
        <v>#REF!</v>
      </c>
      <c r="N104" s="146" t="e">
        <f t="shared" si="31"/>
        <v>#REF!</v>
      </c>
      <c r="O104" s="146" t="e">
        <f t="shared" si="32"/>
        <v>#REF!</v>
      </c>
      <c r="P104" s="146" t="e">
        <f t="shared" si="33"/>
        <v>#REF!</v>
      </c>
      <c r="Q104" s="147" t="e">
        <f t="shared" si="34"/>
        <v>#REF!</v>
      </c>
      <c r="R104" s="148" t="e">
        <f t="shared" si="35"/>
        <v>#REF!</v>
      </c>
      <c r="S104" s="149" t="e">
        <f t="shared" si="27"/>
        <v>#REF!</v>
      </c>
      <c r="T104" s="149" t="e">
        <f t="shared" si="27"/>
        <v>#REF!</v>
      </c>
      <c r="U104" s="149" t="e">
        <f t="shared" si="28"/>
        <v>#REF!</v>
      </c>
      <c r="V104" s="148"/>
      <c r="W104" s="148" t="e">
        <f t="shared" si="36"/>
        <v>#REF!</v>
      </c>
      <c r="X104" s="148" t="e">
        <f t="shared" si="41"/>
        <v>#REF!</v>
      </c>
      <c r="Y104" s="148" t="e">
        <f t="shared" si="41"/>
        <v>#REF!</v>
      </c>
      <c r="Z104" s="148"/>
      <c r="AA104" s="148"/>
      <c r="AB104" s="148"/>
      <c r="AC104" s="148"/>
      <c r="AD104" s="148"/>
      <c r="AE104" s="150" t="e">
        <f t="shared" si="37"/>
        <v>#REF!</v>
      </c>
      <c r="AF104" s="154">
        <v>5</v>
      </c>
      <c r="AG104" s="164">
        <f t="shared" si="38"/>
        <v>10</v>
      </c>
      <c r="AH104" s="149">
        <f t="shared" si="39"/>
        <v>5</v>
      </c>
      <c r="AI104" s="149">
        <f t="shared" si="40"/>
        <v>1.6666666666666667</v>
      </c>
      <c r="AJ104" s="164">
        <v>2</v>
      </c>
      <c r="AK104" s="149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50"/>
      <c r="AV104" s="154"/>
    </row>
    <row r="105" spans="1:48" ht="17.25" thickTop="1" thickBot="1" x14ac:dyDescent="0.3">
      <c r="A105" s="138" t="s">
        <v>222</v>
      </c>
      <c r="B105" s="153" t="s">
        <v>227</v>
      </c>
      <c r="C105" s="140" t="e">
        <f>'[1]Pop-Alvo-CNMenAfricVac por AS'!D111</f>
        <v>#REF!</v>
      </c>
      <c r="D105" s="141">
        <v>0.194310058487977</v>
      </c>
      <c r="E105" s="141">
        <v>0.388620116975955</v>
      </c>
      <c r="F105" s="141">
        <v>0.417069824536068</v>
      </c>
      <c r="G105" s="142" t="e">
        <f t="shared" si="24"/>
        <v>#REF!</v>
      </c>
      <c r="H105" s="142" t="e">
        <f t="shared" si="25"/>
        <v>#REF!</v>
      </c>
      <c r="I105" s="142" t="e">
        <f t="shared" si="26"/>
        <v>#REF!</v>
      </c>
      <c r="J105" s="143" t="e">
        <f t="shared" si="30"/>
        <v>#REF!</v>
      </c>
      <c r="K105" s="143" t="e">
        <f t="shared" si="30"/>
        <v>#REF!</v>
      </c>
      <c r="L105" s="144" t="e">
        <f t="shared" si="30"/>
        <v>#REF!</v>
      </c>
      <c r="M105" s="145" t="e">
        <f t="shared" si="20"/>
        <v>#REF!</v>
      </c>
      <c r="N105" s="146" t="e">
        <f t="shared" si="31"/>
        <v>#REF!</v>
      </c>
      <c r="O105" s="146" t="e">
        <f t="shared" si="32"/>
        <v>#REF!</v>
      </c>
      <c r="P105" s="146" t="e">
        <f t="shared" si="33"/>
        <v>#REF!</v>
      </c>
      <c r="Q105" s="147" t="e">
        <f t="shared" si="34"/>
        <v>#REF!</v>
      </c>
      <c r="R105" s="148" t="e">
        <f t="shared" si="35"/>
        <v>#REF!</v>
      </c>
      <c r="S105" s="149" t="e">
        <f t="shared" si="27"/>
        <v>#REF!</v>
      </c>
      <c r="T105" s="149" t="e">
        <f t="shared" si="27"/>
        <v>#REF!</v>
      </c>
      <c r="U105" s="149" t="e">
        <f t="shared" si="28"/>
        <v>#REF!</v>
      </c>
      <c r="V105" s="148"/>
      <c r="W105" s="148" t="e">
        <f t="shared" si="36"/>
        <v>#REF!</v>
      </c>
      <c r="X105" s="148" t="e">
        <f t="shared" si="41"/>
        <v>#REF!</v>
      </c>
      <c r="Y105" s="148" t="e">
        <f t="shared" si="41"/>
        <v>#REF!</v>
      </c>
      <c r="Z105" s="148"/>
      <c r="AA105" s="148"/>
      <c r="AB105" s="148"/>
      <c r="AC105" s="148"/>
      <c r="AD105" s="148"/>
      <c r="AE105" s="150" t="e">
        <f t="shared" si="37"/>
        <v>#REF!</v>
      </c>
      <c r="AF105" s="154">
        <v>4</v>
      </c>
      <c r="AG105" s="164">
        <f t="shared" si="38"/>
        <v>8</v>
      </c>
      <c r="AH105" s="149">
        <f t="shared" si="39"/>
        <v>4</v>
      </c>
      <c r="AI105" s="149">
        <f t="shared" si="40"/>
        <v>1.3333333333333333</v>
      </c>
      <c r="AJ105" s="164">
        <v>1</v>
      </c>
      <c r="AK105" s="149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50"/>
      <c r="AV105" s="154"/>
    </row>
    <row r="106" spans="1:48" ht="17.25" thickTop="1" thickBot="1" x14ac:dyDescent="0.3">
      <c r="A106" s="138" t="s">
        <v>222</v>
      </c>
      <c r="B106" s="153" t="s">
        <v>228</v>
      </c>
      <c r="C106" s="140" t="e">
        <f>'[1]Pop-Alvo-CNMenAfricVac por AS'!D112</f>
        <v>#REF!</v>
      </c>
      <c r="D106" s="141">
        <v>0.18733534060970999</v>
      </c>
      <c r="E106" s="141">
        <v>0.64442980805419703</v>
      </c>
      <c r="F106" s="141">
        <v>0.16823485133609301</v>
      </c>
      <c r="G106" s="142" t="e">
        <f t="shared" si="24"/>
        <v>#REF!</v>
      </c>
      <c r="H106" s="142" t="e">
        <f t="shared" si="25"/>
        <v>#REF!</v>
      </c>
      <c r="I106" s="142" t="e">
        <f t="shared" si="26"/>
        <v>#REF!</v>
      </c>
      <c r="J106" s="143" t="e">
        <f t="shared" si="30"/>
        <v>#REF!</v>
      </c>
      <c r="K106" s="143" t="e">
        <f t="shared" si="30"/>
        <v>#REF!</v>
      </c>
      <c r="L106" s="144" t="e">
        <f t="shared" si="30"/>
        <v>#REF!</v>
      </c>
      <c r="M106" s="145" t="e">
        <f t="shared" si="20"/>
        <v>#REF!</v>
      </c>
      <c r="N106" s="146" t="e">
        <f t="shared" si="31"/>
        <v>#REF!</v>
      </c>
      <c r="O106" s="146" t="e">
        <f t="shared" si="32"/>
        <v>#REF!</v>
      </c>
      <c r="P106" s="146" t="e">
        <f t="shared" si="33"/>
        <v>#REF!</v>
      </c>
      <c r="Q106" s="147" t="e">
        <f t="shared" si="34"/>
        <v>#REF!</v>
      </c>
      <c r="R106" s="165" t="e">
        <f t="shared" si="35"/>
        <v>#REF!</v>
      </c>
      <c r="S106" s="149" t="e">
        <f t="shared" si="27"/>
        <v>#REF!</v>
      </c>
      <c r="T106" s="149" t="e">
        <f t="shared" si="27"/>
        <v>#REF!</v>
      </c>
      <c r="U106" s="149" t="e">
        <f t="shared" si="28"/>
        <v>#REF!</v>
      </c>
      <c r="V106" s="148"/>
      <c r="W106" s="148" t="e">
        <f t="shared" si="36"/>
        <v>#REF!</v>
      </c>
      <c r="X106" s="148" t="e">
        <f t="shared" si="41"/>
        <v>#REF!</v>
      </c>
      <c r="Y106" s="148" t="e">
        <f t="shared" si="41"/>
        <v>#REF!</v>
      </c>
      <c r="Z106" s="148"/>
      <c r="AA106" s="148"/>
      <c r="AB106" s="148"/>
      <c r="AC106" s="148"/>
      <c r="AD106" s="148"/>
      <c r="AE106" s="150" t="e">
        <f t="shared" si="37"/>
        <v>#REF!</v>
      </c>
      <c r="AF106" s="154">
        <v>3</v>
      </c>
      <c r="AG106" s="164">
        <f t="shared" si="38"/>
        <v>6</v>
      </c>
      <c r="AH106" s="149">
        <f t="shared" si="39"/>
        <v>3</v>
      </c>
      <c r="AI106" s="149">
        <f t="shared" si="40"/>
        <v>1</v>
      </c>
      <c r="AJ106" s="164">
        <v>1</v>
      </c>
      <c r="AK106" s="149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50"/>
      <c r="AV106" s="154"/>
    </row>
    <row r="107" spans="1:48" ht="17.25" thickTop="1" thickBot="1" x14ac:dyDescent="0.3">
      <c r="A107" s="138" t="s">
        <v>26</v>
      </c>
      <c r="B107" s="153" t="s">
        <v>229</v>
      </c>
      <c r="C107" s="140" t="e">
        <f>'[1]Pop-Alvo-CNMenAfricVac por AS'!D113</f>
        <v>#REF!</v>
      </c>
      <c r="D107" s="141">
        <v>0.33999999999999997</v>
      </c>
      <c r="E107" s="141">
        <v>0.65999999999999992</v>
      </c>
      <c r="F107" s="141">
        <v>0</v>
      </c>
      <c r="G107" s="142" t="e">
        <f t="shared" si="24"/>
        <v>#REF!</v>
      </c>
      <c r="H107" s="142" t="e">
        <f t="shared" si="25"/>
        <v>#REF!</v>
      </c>
      <c r="I107" s="142" t="e">
        <f t="shared" si="26"/>
        <v>#REF!</v>
      </c>
      <c r="J107" s="143" t="e">
        <f t="shared" si="30"/>
        <v>#REF!</v>
      </c>
      <c r="K107" s="143" t="e">
        <f t="shared" si="30"/>
        <v>#REF!</v>
      </c>
      <c r="L107" s="144" t="e">
        <f t="shared" si="30"/>
        <v>#REF!</v>
      </c>
      <c r="M107" s="145" t="e">
        <f t="shared" si="20"/>
        <v>#REF!</v>
      </c>
      <c r="N107" s="146" t="e">
        <f t="shared" si="31"/>
        <v>#REF!</v>
      </c>
      <c r="O107" s="146" t="e">
        <f t="shared" si="32"/>
        <v>#REF!</v>
      </c>
      <c r="P107" s="146" t="e">
        <f t="shared" si="33"/>
        <v>#REF!</v>
      </c>
      <c r="Q107" s="147" t="e">
        <f t="shared" si="34"/>
        <v>#REF!</v>
      </c>
      <c r="R107" s="166" t="e">
        <f>ROUND(M107/150/7,0)</f>
        <v>#REF!</v>
      </c>
      <c r="S107" s="167" t="e">
        <f t="shared" si="27"/>
        <v>#REF!</v>
      </c>
      <c r="T107" s="149" t="e">
        <f t="shared" si="27"/>
        <v>#REF!</v>
      </c>
      <c r="U107" s="149" t="e">
        <f t="shared" si="28"/>
        <v>#REF!</v>
      </c>
      <c r="V107" s="148"/>
      <c r="W107" s="148" t="e">
        <f t="shared" si="36"/>
        <v>#REF!</v>
      </c>
      <c r="X107" s="148" t="e">
        <f t="shared" si="41"/>
        <v>#REF!</v>
      </c>
      <c r="Y107" s="148" t="e">
        <f t="shared" si="41"/>
        <v>#REF!</v>
      </c>
      <c r="Z107" s="148"/>
      <c r="AA107" s="148"/>
      <c r="AB107" s="148"/>
      <c r="AC107" s="148"/>
      <c r="AD107" s="148"/>
      <c r="AE107" s="168">
        <v>0</v>
      </c>
      <c r="AF107" s="169">
        <v>3</v>
      </c>
      <c r="AG107" s="170">
        <f t="shared" si="38"/>
        <v>6</v>
      </c>
      <c r="AH107" s="149">
        <f t="shared" si="39"/>
        <v>3</v>
      </c>
      <c r="AI107" s="149">
        <f>AF107/4</f>
        <v>0.75</v>
      </c>
      <c r="AJ107" s="170">
        <v>1</v>
      </c>
      <c r="AK107" s="149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50"/>
      <c r="AV107" s="154"/>
    </row>
    <row r="108" spans="1:48" ht="17.25" thickTop="1" thickBot="1" x14ac:dyDescent="0.3">
      <c r="A108" s="138" t="s">
        <v>26</v>
      </c>
      <c r="B108" s="153" t="s">
        <v>230</v>
      </c>
      <c r="C108" s="140" t="e">
        <f>'[1]Pop-Alvo-CNMenAfricVac por AS'!D114</f>
        <v>#REF!</v>
      </c>
      <c r="D108" s="141">
        <v>0.33999999999999997</v>
      </c>
      <c r="E108" s="141">
        <v>0.65999999999999992</v>
      </c>
      <c r="F108" s="141">
        <v>0</v>
      </c>
      <c r="G108" s="142" t="e">
        <f t="shared" si="24"/>
        <v>#REF!</v>
      </c>
      <c r="H108" s="142" t="e">
        <f t="shared" si="25"/>
        <v>#REF!</v>
      </c>
      <c r="I108" s="142" t="e">
        <f t="shared" si="26"/>
        <v>#REF!</v>
      </c>
      <c r="J108" s="143" t="e">
        <f t="shared" si="30"/>
        <v>#REF!</v>
      </c>
      <c r="K108" s="143" t="e">
        <f t="shared" si="30"/>
        <v>#REF!</v>
      </c>
      <c r="L108" s="144" t="e">
        <f t="shared" si="30"/>
        <v>#REF!</v>
      </c>
      <c r="M108" s="145" t="e">
        <f t="shared" ref="M108:M128" si="42">SUM(J108:L108)</f>
        <v>#REF!</v>
      </c>
      <c r="N108" s="146" t="e">
        <f t="shared" si="31"/>
        <v>#REF!</v>
      </c>
      <c r="O108" s="146" t="e">
        <f t="shared" si="32"/>
        <v>#REF!</v>
      </c>
      <c r="P108" s="146" t="e">
        <f t="shared" si="33"/>
        <v>#REF!</v>
      </c>
      <c r="Q108" s="147" t="e">
        <f t="shared" si="34"/>
        <v>#REF!</v>
      </c>
      <c r="R108" s="171" t="e">
        <f t="shared" ref="R108:R120" si="43">ROUND(M108/150/7,0)</f>
        <v>#REF!</v>
      </c>
      <c r="S108" s="167" t="e">
        <f t="shared" ref="S108:T128" si="44">N108/100</f>
        <v>#REF!</v>
      </c>
      <c r="T108" s="149" t="e">
        <f t="shared" si="44"/>
        <v>#REF!</v>
      </c>
      <c r="U108" s="149" t="e">
        <f t="shared" si="28"/>
        <v>#REF!</v>
      </c>
      <c r="V108" s="148"/>
      <c r="W108" s="148" t="e">
        <f t="shared" si="36"/>
        <v>#REF!</v>
      </c>
      <c r="X108" s="148" t="e">
        <f t="shared" ref="X108:Y123" si="45">ROUND(IF(W108&lt;=15,W108,15),0)</f>
        <v>#REF!</v>
      </c>
      <c r="Y108" s="148" t="e">
        <f t="shared" si="45"/>
        <v>#REF!</v>
      </c>
      <c r="Z108" s="148"/>
      <c r="AA108" s="148"/>
      <c r="AB108" s="148"/>
      <c r="AC108" s="148"/>
      <c r="AD108" s="148"/>
      <c r="AE108" s="168">
        <v>0</v>
      </c>
      <c r="AF108" s="169">
        <v>8</v>
      </c>
      <c r="AG108" s="170">
        <f t="shared" si="38"/>
        <v>16</v>
      </c>
      <c r="AH108" s="149">
        <f t="shared" si="39"/>
        <v>8</v>
      </c>
      <c r="AI108" s="149">
        <f t="shared" ref="AI108:AI120" si="46">AF108/4</f>
        <v>2</v>
      </c>
      <c r="AJ108" s="170">
        <v>2</v>
      </c>
      <c r="AK108" s="149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50"/>
      <c r="AV108" s="154"/>
    </row>
    <row r="109" spans="1:48" ht="17.25" thickTop="1" thickBot="1" x14ac:dyDescent="0.3">
      <c r="A109" s="138" t="s">
        <v>26</v>
      </c>
      <c r="B109" s="153" t="s">
        <v>231</v>
      </c>
      <c r="C109" s="140" t="e">
        <f>'[1]Pop-Alvo-CNMenAfricVac por AS'!D115</f>
        <v>#REF!</v>
      </c>
      <c r="D109" s="141">
        <v>0.33999999999999997</v>
      </c>
      <c r="E109" s="141">
        <v>0.65999999999999992</v>
      </c>
      <c r="F109" s="141">
        <v>0</v>
      </c>
      <c r="G109" s="142" t="e">
        <f t="shared" si="24"/>
        <v>#REF!</v>
      </c>
      <c r="H109" s="142" t="e">
        <f t="shared" si="25"/>
        <v>#REF!</v>
      </c>
      <c r="I109" s="142" t="e">
        <f t="shared" si="26"/>
        <v>#REF!</v>
      </c>
      <c r="J109" s="143" t="e">
        <f t="shared" si="30"/>
        <v>#REF!</v>
      </c>
      <c r="K109" s="143" t="e">
        <f t="shared" si="30"/>
        <v>#REF!</v>
      </c>
      <c r="L109" s="144" t="e">
        <f t="shared" si="30"/>
        <v>#REF!</v>
      </c>
      <c r="M109" s="145" t="e">
        <f t="shared" si="42"/>
        <v>#REF!</v>
      </c>
      <c r="N109" s="146" t="e">
        <f t="shared" si="31"/>
        <v>#REF!</v>
      </c>
      <c r="O109" s="146" t="e">
        <f t="shared" si="32"/>
        <v>#REF!</v>
      </c>
      <c r="P109" s="146" t="e">
        <f t="shared" si="33"/>
        <v>#REF!</v>
      </c>
      <c r="Q109" s="147" t="e">
        <f t="shared" si="34"/>
        <v>#REF!</v>
      </c>
      <c r="R109" s="171" t="e">
        <f t="shared" si="43"/>
        <v>#REF!</v>
      </c>
      <c r="S109" s="167" t="e">
        <f t="shared" si="44"/>
        <v>#REF!</v>
      </c>
      <c r="T109" s="149" t="e">
        <f t="shared" si="44"/>
        <v>#REF!</v>
      </c>
      <c r="U109" s="149" t="e">
        <f t="shared" si="28"/>
        <v>#REF!</v>
      </c>
      <c r="V109" s="148"/>
      <c r="W109" s="148" t="e">
        <f t="shared" si="36"/>
        <v>#REF!</v>
      </c>
      <c r="X109" s="148" t="e">
        <f t="shared" si="45"/>
        <v>#REF!</v>
      </c>
      <c r="Y109" s="148" t="e">
        <f t="shared" si="45"/>
        <v>#REF!</v>
      </c>
      <c r="Z109" s="148"/>
      <c r="AA109" s="148"/>
      <c r="AB109" s="148"/>
      <c r="AC109" s="148"/>
      <c r="AD109" s="148"/>
      <c r="AE109" s="168">
        <v>0</v>
      </c>
      <c r="AF109" s="169">
        <v>17</v>
      </c>
      <c r="AG109" s="170">
        <f t="shared" si="38"/>
        <v>34</v>
      </c>
      <c r="AH109" s="149">
        <f t="shared" si="39"/>
        <v>17</v>
      </c>
      <c r="AI109" s="149">
        <f t="shared" si="46"/>
        <v>4.25</v>
      </c>
      <c r="AJ109" s="170">
        <v>4</v>
      </c>
      <c r="AK109" s="149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50"/>
      <c r="AV109" s="154"/>
    </row>
    <row r="110" spans="1:48" ht="17.25" thickTop="1" thickBot="1" x14ac:dyDescent="0.3">
      <c r="A110" s="138" t="s">
        <v>26</v>
      </c>
      <c r="B110" s="153" t="s">
        <v>232</v>
      </c>
      <c r="C110" s="140" t="e">
        <f>'[1]Pop-Alvo-CNMenAfricVac por AS'!D116</f>
        <v>#REF!</v>
      </c>
      <c r="D110" s="141">
        <v>0.33999999999999997</v>
      </c>
      <c r="E110" s="141">
        <v>0.65999999999999992</v>
      </c>
      <c r="F110" s="141">
        <v>0</v>
      </c>
      <c r="G110" s="142" t="e">
        <f t="shared" si="24"/>
        <v>#REF!</v>
      </c>
      <c r="H110" s="142" t="e">
        <f t="shared" si="25"/>
        <v>#REF!</v>
      </c>
      <c r="I110" s="142" t="e">
        <f t="shared" si="26"/>
        <v>#REF!</v>
      </c>
      <c r="J110" s="143" t="e">
        <f t="shared" si="30"/>
        <v>#REF!</v>
      </c>
      <c r="K110" s="143" t="e">
        <f t="shared" si="30"/>
        <v>#REF!</v>
      </c>
      <c r="L110" s="144" t="e">
        <f t="shared" si="30"/>
        <v>#REF!</v>
      </c>
      <c r="M110" s="145" t="e">
        <f t="shared" si="42"/>
        <v>#REF!</v>
      </c>
      <c r="N110" s="146" t="e">
        <f t="shared" si="31"/>
        <v>#REF!</v>
      </c>
      <c r="O110" s="146" t="e">
        <f t="shared" si="32"/>
        <v>#REF!</v>
      </c>
      <c r="P110" s="146" t="e">
        <f t="shared" si="33"/>
        <v>#REF!</v>
      </c>
      <c r="Q110" s="147" t="e">
        <f t="shared" si="34"/>
        <v>#REF!</v>
      </c>
      <c r="R110" s="171" t="e">
        <f t="shared" si="43"/>
        <v>#REF!</v>
      </c>
      <c r="S110" s="167" t="e">
        <f t="shared" si="44"/>
        <v>#REF!</v>
      </c>
      <c r="T110" s="149" t="e">
        <f t="shared" si="44"/>
        <v>#REF!</v>
      </c>
      <c r="U110" s="149" t="e">
        <f t="shared" si="28"/>
        <v>#REF!</v>
      </c>
      <c r="V110" s="148"/>
      <c r="W110" s="148" t="e">
        <f t="shared" si="36"/>
        <v>#REF!</v>
      </c>
      <c r="X110" s="148" t="e">
        <f t="shared" si="45"/>
        <v>#REF!</v>
      </c>
      <c r="Y110" s="148" t="e">
        <f t="shared" si="45"/>
        <v>#REF!</v>
      </c>
      <c r="Z110" s="148"/>
      <c r="AA110" s="148"/>
      <c r="AB110" s="148"/>
      <c r="AC110" s="148"/>
      <c r="AD110" s="148"/>
      <c r="AE110" s="168">
        <v>0</v>
      </c>
      <c r="AF110" s="169">
        <v>11</v>
      </c>
      <c r="AG110" s="170">
        <f t="shared" si="38"/>
        <v>22</v>
      </c>
      <c r="AH110" s="149">
        <f t="shared" si="39"/>
        <v>11</v>
      </c>
      <c r="AI110" s="149">
        <f t="shared" si="46"/>
        <v>2.75</v>
      </c>
      <c r="AJ110" s="170">
        <v>3</v>
      </c>
      <c r="AK110" s="149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50"/>
      <c r="AV110" s="154"/>
    </row>
    <row r="111" spans="1:48" ht="17.25" thickTop="1" thickBot="1" x14ac:dyDescent="0.3">
      <c r="A111" s="138" t="s">
        <v>26</v>
      </c>
      <c r="B111" s="153" t="s">
        <v>233</v>
      </c>
      <c r="C111" s="140" t="e">
        <f>'[1]Pop-Alvo-CNMenAfricVac por AS'!D117</f>
        <v>#REF!</v>
      </c>
      <c r="D111" s="141">
        <v>0.33999999999999997</v>
      </c>
      <c r="E111" s="141">
        <v>0.65999999999999992</v>
      </c>
      <c r="F111" s="141">
        <v>0</v>
      </c>
      <c r="G111" s="142" t="e">
        <f t="shared" si="24"/>
        <v>#REF!</v>
      </c>
      <c r="H111" s="142" t="e">
        <f t="shared" si="25"/>
        <v>#REF!</v>
      </c>
      <c r="I111" s="142" t="e">
        <f t="shared" si="26"/>
        <v>#REF!</v>
      </c>
      <c r="J111" s="143" t="e">
        <f t="shared" si="30"/>
        <v>#REF!</v>
      </c>
      <c r="K111" s="143" t="e">
        <f t="shared" si="30"/>
        <v>#REF!</v>
      </c>
      <c r="L111" s="144" t="e">
        <f t="shared" si="30"/>
        <v>#REF!</v>
      </c>
      <c r="M111" s="145" t="e">
        <f t="shared" si="42"/>
        <v>#REF!</v>
      </c>
      <c r="N111" s="146" t="e">
        <f t="shared" si="31"/>
        <v>#REF!</v>
      </c>
      <c r="O111" s="146" t="e">
        <f t="shared" si="32"/>
        <v>#REF!</v>
      </c>
      <c r="P111" s="146" t="e">
        <f t="shared" si="33"/>
        <v>#REF!</v>
      </c>
      <c r="Q111" s="147" t="e">
        <f t="shared" si="34"/>
        <v>#REF!</v>
      </c>
      <c r="R111" s="171" t="e">
        <f t="shared" si="43"/>
        <v>#REF!</v>
      </c>
      <c r="S111" s="167" t="e">
        <f t="shared" si="44"/>
        <v>#REF!</v>
      </c>
      <c r="T111" s="149" t="e">
        <f t="shared" si="44"/>
        <v>#REF!</v>
      </c>
      <c r="U111" s="149" t="e">
        <f t="shared" si="28"/>
        <v>#REF!</v>
      </c>
      <c r="V111" s="148"/>
      <c r="W111" s="148" t="e">
        <f t="shared" si="36"/>
        <v>#REF!</v>
      </c>
      <c r="X111" s="148" t="e">
        <f t="shared" si="45"/>
        <v>#REF!</v>
      </c>
      <c r="Y111" s="148" t="e">
        <f t="shared" si="45"/>
        <v>#REF!</v>
      </c>
      <c r="Z111" s="148"/>
      <c r="AA111" s="148"/>
      <c r="AB111" s="148"/>
      <c r="AC111" s="148"/>
      <c r="AD111" s="148"/>
      <c r="AE111" s="168">
        <v>0</v>
      </c>
      <c r="AF111" s="169">
        <v>4</v>
      </c>
      <c r="AG111" s="170">
        <f t="shared" si="38"/>
        <v>8</v>
      </c>
      <c r="AH111" s="149">
        <f t="shared" si="39"/>
        <v>4</v>
      </c>
      <c r="AI111" s="149">
        <f t="shared" si="46"/>
        <v>1</v>
      </c>
      <c r="AJ111" s="170">
        <v>1</v>
      </c>
      <c r="AK111" s="149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50"/>
      <c r="AV111" s="154"/>
    </row>
    <row r="112" spans="1:48" ht="17.25" thickTop="1" thickBot="1" x14ac:dyDescent="0.3">
      <c r="A112" s="138" t="s">
        <v>26</v>
      </c>
      <c r="B112" s="153" t="s">
        <v>234</v>
      </c>
      <c r="C112" s="140" t="e">
        <f>'[1]Pop-Alvo-CNMenAfricVac por AS'!D118</f>
        <v>#REF!</v>
      </c>
      <c r="D112" s="141">
        <v>0.33999999999999997</v>
      </c>
      <c r="E112" s="141">
        <v>0.65999999999999992</v>
      </c>
      <c r="F112" s="141">
        <v>0</v>
      </c>
      <c r="G112" s="142" t="e">
        <f t="shared" si="24"/>
        <v>#REF!</v>
      </c>
      <c r="H112" s="142" t="e">
        <f t="shared" si="25"/>
        <v>#REF!</v>
      </c>
      <c r="I112" s="142" t="e">
        <f t="shared" si="26"/>
        <v>#REF!</v>
      </c>
      <c r="J112" s="143" t="e">
        <f t="shared" si="30"/>
        <v>#REF!</v>
      </c>
      <c r="K112" s="143" t="e">
        <f t="shared" si="30"/>
        <v>#REF!</v>
      </c>
      <c r="L112" s="144" t="e">
        <f t="shared" si="30"/>
        <v>#REF!</v>
      </c>
      <c r="M112" s="145" t="e">
        <f t="shared" si="42"/>
        <v>#REF!</v>
      </c>
      <c r="N112" s="146" t="e">
        <f t="shared" si="31"/>
        <v>#REF!</v>
      </c>
      <c r="O112" s="146" t="e">
        <f t="shared" si="32"/>
        <v>#REF!</v>
      </c>
      <c r="P112" s="146" t="e">
        <f t="shared" si="33"/>
        <v>#REF!</v>
      </c>
      <c r="Q112" s="147" t="e">
        <f t="shared" si="34"/>
        <v>#REF!</v>
      </c>
      <c r="R112" s="171" t="e">
        <f t="shared" si="43"/>
        <v>#REF!</v>
      </c>
      <c r="S112" s="167" t="e">
        <f t="shared" si="44"/>
        <v>#REF!</v>
      </c>
      <c r="T112" s="149" t="e">
        <f t="shared" si="44"/>
        <v>#REF!</v>
      </c>
      <c r="U112" s="149" t="e">
        <f t="shared" si="28"/>
        <v>#REF!</v>
      </c>
      <c r="V112" s="148"/>
      <c r="W112" s="148" t="e">
        <f t="shared" si="36"/>
        <v>#REF!</v>
      </c>
      <c r="X112" s="148" t="e">
        <f t="shared" si="45"/>
        <v>#REF!</v>
      </c>
      <c r="Y112" s="148" t="e">
        <f t="shared" si="45"/>
        <v>#REF!</v>
      </c>
      <c r="Z112" s="148"/>
      <c r="AA112" s="148"/>
      <c r="AB112" s="148"/>
      <c r="AC112" s="148"/>
      <c r="AD112" s="148"/>
      <c r="AE112" s="168">
        <v>0</v>
      </c>
      <c r="AF112" s="169">
        <v>4</v>
      </c>
      <c r="AG112" s="170">
        <f t="shared" si="38"/>
        <v>8</v>
      </c>
      <c r="AH112" s="149">
        <f t="shared" si="39"/>
        <v>4</v>
      </c>
      <c r="AI112" s="149">
        <f t="shared" si="46"/>
        <v>1</v>
      </c>
      <c r="AJ112" s="170">
        <v>1</v>
      </c>
      <c r="AK112" s="149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50"/>
      <c r="AV112" s="154"/>
    </row>
    <row r="113" spans="1:48" ht="17.25" thickTop="1" thickBot="1" x14ac:dyDescent="0.3">
      <c r="A113" s="138" t="s">
        <v>26</v>
      </c>
      <c r="B113" s="153" t="s">
        <v>235</v>
      </c>
      <c r="C113" s="140" t="e">
        <f>'[1]Pop-Alvo-CNMenAfricVac por AS'!D119</f>
        <v>#REF!</v>
      </c>
      <c r="D113" s="141">
        <v>0.33999999999999997</v>
      </c>
      <c r="E113" s="141">
        <v>0.65999999999999992</v>
      </c>
      <c r="F113" s="141">
        <v>0</v>
      </c>
      <c r="G113" s="142" t="e">
        <f t="shared" si="24"/>
        <v>#REF!</v>
      </c>
      <c r="H113" s="142" t="e">
        <f t="shared" si="25"/>
        <v>#REF!</v>
      </c>
      <c r="I113" s="142" t="e">
        <f t="shared" si="26"/>
        <v>#REF!</v>
      </c>
      <c r="J113" s="143" t="e">
        <f t="shared" si="30"/>
        <v>#REF!</v>
      </c>
      <c r="K113" s="143" t="e">
        <f t="shared" si="30"/>
        <v>#REF!</v>
      </c>
      <c r="L113" s="144" t="e">
        <f t="shared" si="30"/>
        <v>#REF!</v>
      </c>
      <c r="M113" s="145" t="e">
        <f t="shared" si="42"/>
        <v>#REF!</v>
      </c>
      <c r="N113" s="146" t="e">
        <f t="shared" si="31"/>
        <v>#REF!</v>
      </c>
      <c r="O113" s="146" t="e">
        <f t="shared" si="32"/>
        <v>#REF!</v>
      </c>
      <c r="P113" s="146" t="e">
        <f t="shared" si="33"/>
        <v>#REF!</v>
      </c>
      <c r="Q113" s="147" t="e">
        <f t="shared" si="34"/>
        <v>#REF!</v>
      </c>
      <c r="R113" s="171" t="e">
        <f t="shared" si="43"/>
        <v>#REF!</v>
      </c>
      <c r="S113" s="167" t="e">
        <f t="shared" si="44"/>
        <v>#REF!</v>
      </c>
      <c r="T113" s="149" t="e">
        <f t="shared" si="44"/>
        <v>#REF!</v>
      </c>
      <c r="U113" s="149" t="e">
        <f t="shared" si="28"/>
        <v>#REF!</v>
      </c>
      <c r="V113" s="148"/>
      <c r="W113" s="148" t="e">
        <f t="shared" si="36"/>
        <v>#REF!</v>
      </c>
      <c r="X113" s="148" t="e">
        <f t="shared" si="45"/>
        <v>#REF!</v>
      </c>
      <c r="Y113" s="148" t="e">
        <f t="shared" si="45"/>
        <v>#REF!</v>
      </c>
      <c r="Z113" s="148"/>
      <c r="AA113" s="148"/>
      <c r="AB113" s="148"/>
      <c r="AC113" s="148"/>
      <c r="AD113" s="148"/>
      <c r="AE113" s="168">
        <v>0</v>
      </c>
      <c r="AF113" s="169">
        <v>12</v>
      </c>
      <c r="AG113" s="170">
        <f t="shared" si="38"/>
        <v>24</v>
      </c>
      <c r="AH113" s="149">
        <f t="shared" si="39"/>
        <v>12</v>
      </c>
      <c r="AI113" s="149">
        <f t="shared" si="46"/>
        <v>3</v>
      </c>
      <c r="AJ113" s="170">
        <v>3</v>
      </c>
      <c r="AK113" s="149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50"/>
      <c r="AV113" s="154"/>
    </row>
    <row r="114" spans="1:48" ht="17.25" thickTop="1" thickBot="1" x14ac:dyDescent="0.3">
      <c r="A114" s="138" t="s">
        <v>26</v>
      </c>
      <c r="B114" s="153" t="s">
        <v>236</v>
      </c>
      <c r="C114" s="140" t="e">
        <f>'[1]Pop-Alvo-CNMenAfricVac por AS'!D120</f>
        <v>#REF!</v>
      </c>
      <c r="D114" s="141">
        <v>0.33999999999999997</v>
      </c>
      <c r="E114" s="141">
        <v>0.65999999999999992</v>
      </c>
      <c r="F114" s="141">
        <v>0</v>
      </c>
      <c r="G114" s="142" t="e">
        <f t="shared" si="24"/>
        <v>#REF!</v>
      </c>
      <c r="H114" s="142" t="e">
        <f t="shared" si="25"/>
        <v>#REF!</v>
      </c>
      <c r="I114" s="142" t="e">
        <f t="shared" si="26"/>
        <v>#REF!</v>
      </c>
      <c r="J114" s="143" t="e">
        <f t="shared" si="30"/>
        <v>#REF!</v>
      </c>
      <c r="K114" s="143" t="e">
        <f t="shared" si="30"/>
        <v>#REF!</v>
      </c>
      <c r="L114" s="144" t="e">
        <f t="shared" si="30"/>
        <v>#REF!</v>
      </c>
      <c r="M114" s="145" t="e">
        <f t="shared" si="42"/>
        <v>#REF!</v>
      </c>
      <c r="N114" s="146" t="e">
        <f t="shared" si="31"/>
        <v>#REF!</v>
      </c>
      <c r="O114" s="146" t="e">
        <f t="shared" si="32"/>
        <v>#REF!</v>
      </c>
      <c r="P114" s="146" t="e">
        <f t="shared" si="33"/>
        <v>#REF!</v>
      </c>
      <c r="Q114" s="147" t="e">
        <f t="shared" si="34"/>
        <v>#REF!</v>
      </c>
      <c r="R114" s="171" t="e">
        <f t="shared" si="43"/>
        <v>#REF!</v>
      </c>
      <c r="S114" s="167" t="e">
        <f t="shared" si="44"/>
        <v>#REF!</v>
      </c>
      <c r="T114" s="149" t="e">
        <f t="shared" si="44"/>
        <v>#REF!</v>
      </c>
      <c r="U114" s="149" t="e">
        <f t="shared" si="28"/>
        <v>#REF!</v>
      </c>
      <c r="V114" s="148"/>
      <c r="W114" s="148" t="e">
        <f t="shared" si="36"/>
        <v>#REF!</v>
      </c>
      <c r="X114" s="148" t="e">
        <f t="shared" si="45"/>
        <v>#REF!</v>
      </c>
      <c r="Y114" s="148" t="e">
        <f t="shared" si="45"/>
        <v>#REF!</v>
      </c>
      <c r="Z114" s="148"/>
      <c r="AA114" s="148"/>
      <c r="AB114" s="148"/>
      <c r="AC114" s="148"/>
      <c r="AD114" s="148"/>
      <c r="AE114" s="168">
        <v>0</v>
      </c>
      <c r="AF114" s="169">
        <v>6</v>
      </c>
      <c r="AG114" s="170">
        <f t="shared" si="38"/>
        <v>12</v>
      </c>
      <c r="AH114" s="149">
        <f t="shared" si="39"/>
        <v>6</v>
      </c>
      <c r="AI114" s="149">
        <f t="shared" si="46"/>
        <v>1.5</v>
      </c>
      <c r="AJ114" s="170">
        <v>2</v>
      </c>
      <c r="AK114" s="149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50"/>
      <c r="AV114" s="154"/>
    </row>
    <row r="115" spans="1:48" ht="17.25" thickTop="1" thickBot="1" x14ac:dyDescent="0.3">
      <c r="A115" s="138" t="s">
        <v>26</v>
      </c>
      <c r="B115" s="153" t="s">
        <v>237</v>
      </c>
      <c r="C115" s="140" t="e">
        <f>'[1]Pop-Alvo-CNMenAfricVac por AS'!D121</f>
        <v>#REF!</v>
      </c>
      <c r="D115" s="141">
        <v>0.33999999999999997</v>
      </c>
      <c r="E115" s="141">
        <v>0.65999999999999992</v>
      </c>
      <c r="F115" s="141">
        <v>0</v>
      </c>
      <c r="G115" s="142" t="e">
        <f t="shared" si="24"/>
        <v>#REF!</v>
      </c>
      <c r="H115" s="142" t="e">
        <f t="shared" si="25"/>
        <v>#REF!</v>
      </c>
      <c r="I115" s="142" t="e">
        <f t="shared" si="26"/>
        <v>#REF!</v>
      </c>
      <c r="J115" s="143" t="e">
        <f t="shared" si="30"/>
        <v>#REF!</v>
      </c>
      <c r="K115" s="143" t="e">
        <f t="shared" si="30"/>
        <v>#REF!</v>
      </c>
      <c r="L115" s="144" t="e">
        <f t="shared" si="30"/>
        <v>#REF!</v>
      </c>
      <c r="M115" s="145" t="e">
        <f t="shared" si="42"/>
        <v>#REF!</v>
      </c>
      <c r="N115" s="146" t="e">
        <f t="shared" si="31"/>
        <v>#REF!</v>
      </c>
      <c r="O115" s="146" t="e">
        <f t="shared" si="32"/>
        <v>#REF!</v>
      </c>
      <c r="P115" s="146" t="e">
        <f t="shared" si="33"/>
        <v>#REF!</v>
      </c>
      <c r="Q115" s="147" t="e">
        <f t="shared" si="34"/>
        <v>#REF!</v>
      </c>
      <c r="R115" s="171" t="e">
        <f t="shared" si="43"/>
        <v>#REF!</v>
      </c>
      <c r="S115" s="167" t="e">
        <f t="shared" si="44"/>
        <v>#REF!</v>
      </c>
      <c r="T115" s="149" t="e">
        <f t="shared" si="44"/>
        <v>#REF!</v>
      </c>
      <c r="U115" s="149" t="e">
        <f t="shared" si="28"/>
        <v>#REF!</v>
      </c>
      <c r="V115" s="148"/>
      <c r="W115" s="148" t="e">
        <f t="shared" si="36"/>
        <v>#REF!</v>
      </c>
      <c r="X115" s="148" t="e">
        <f t="shared" si="45"/>
        <v>#REF!</v>
      </c>
      <c r="Y115" s="148" t="e">
        <f t="shared" si="45"/>
        <v>#REF!</v>
      </c>
      <c r="Z115" s="148"/>
      <c r="AA115" s="148"/>
      <c r="AB115" s="148"/>
      <c r="AC115" s="148"/>
      <c r="AD115" s="148"/>
      <c r="AE115" s="168">
        <v>0</v>
      </c>
      <c r="AF115" s="169">
        <v>10</v>
      </c>
      <c r="AG115" s="170">
        <f t="shared" si="38"/>
        <v>20</v>
      </c>
      <c r="AH115" s="149">
        <f t="shared" si="39"/>
        <v>10</v>
      </c>
      <c r="AI115" s="149">
        <f t="shared" si="46"/>
        <v>2.5</v>
      </c>
      <c r="AJ115" s="170">
        <v>3</v>
      </c>
      <c r="AK115" s="149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50"/>
      <c r="AV115" s="154"/>
    </row>
    <row r="116" spans="1:48" ht="17.25" thickTop="1" thickBot="1" x14ac:dyDescent="0.3">
      <c r="A116" s="138" t="s">
        <v>26</v>
      </c>
      <c r="B116" s="153" t="s">
        <v>238</v>
      </c>
      <c r="C116" s="140" t="e">
        <f>'[1]Pop-Alvo-CNMenAfricVac por AS'!D122</f>
        <v>#REF!</v>
      </c>
      <c r="D116" s="141">
        <v>0.33999999999999997</v>
      </c>
      <c r="E116" s="141">
        <v>0.65999999999999992</v>
      </c>
      <c r="F116" s="141">
        <v>0</v>
      </c>
      <c r="G116" s="142" t="e">
        <f t="shared" si="24"/>
        <v>#REF!</v>
      </c>
      <c r="H116" s="142" t="e">
        <f t="shared" si="25"/>
        <v>#REF!</v>
      </c>
      <c r="I116" s="142" t="e">
        <f t="shared" si="26"/>
        <v>#REF!</v>
      </c>
      <c r="J116" s="143" t="e">
        <f t="shared" si="30"/>
        <v>#REF!</v>
      </c>
      <c r="K116" s="143" t="e">
        <f t="shared" si="30"/>
        <v>#REF!</v>
      </c>
      <c r="L116" s="144" t="e">
        <f t="shared" si="30"/>
        <v>#REF!</v>
      </c>
      <c r="M116" s="145" t="e">
        <f t="shared" si="42"/>
        <v>#REF!</v>
      </c>
      <c r="N116" s="146" t="e">
        <f t="shared" si="31"/>
        <v>#REF!</v>
      </c>
      <c r="O116" s="146" t="e">
        <f t="shared" si="32"/>
        <v>#REF!</v>
      </c>
      <c r="P116" s="146" t="e">
        <f t="shared" si="33"/>
        <v>#REF!</v>
      </c>
      <c r="Q116" s="147" t="e">
        <f t="shared" si="34"/>
        <v>#REF!</v>
      </c>
      <c r="R116" s="171" t="e">
        <f t="shared" si="43"/>
        <v>#REF!</v>
      </c>
      <c r="S116" s="167" t="e">
        <f t="shared" si="44"/>
        <v>#REF!</v>
      </c>
      <c r="T116" s="149" t="e">
        <f t="shared" si="44"/>
        <v>#REF!</v>
      </c>
      <c r="U116" s="149" t="e">
        <f t="shared" si="28"/>
        <v>#REF!</v>
      </c>
      <c r="V116" s="148"/>
      <c r="W116" s="148" t="e">
        <f t="shared" si="36"/>
        <v>#REF!</v>
      </c>
      <c r="X116" s="148" t="e">
        <f t="shared" si="45"/>
        <v>#REF!</v>
      </c>
      <c r="Y116" s="148" t="e">
        <f t="shared" si="45"/>
        <v>#REF!</v>
      </c>
      <c r="Z116" s="148"/>
      <c r="AA116" s="148"/>
      <c r="AB116" s="148"/>
      <c r="AC116" s="148"/>
      <c r="AD116" s="148"/>
      <c r="AE116" s="168">
        <v>0</v>
      </c>
      <c r="AF116" s="169">
        <v>4</v>
      </c>
      <c r="AG116" s="170">
        <f t="shared" si="38"/>
        <v>8</v>
      </c>
      <c r="AH116" s="149">
        <f t="shared" si="39"/>
        <v>4</v>
      </c>
      <c r="AI116" s="149">
        <f t="shared" si="46"/>
        <v>1</v>
      </c>
      <c r="AJ116" s="170">
        <v>1</v>
      </c>
      <c r="AK116" s="149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50"/>
      <c r="AV116" s="154"/>
    </row>
    <row r="117" spans="1:48" ht="17.25" thickTop="1" thickBot="1" x14ac:dyDescent="0.3">
      <c r="A117" s="138" t="s">
        <v>26</v>
      </c>
      <c r="B117" s="153" t="s">
        <v>239</v>
      </c>
      <c r="C117" s="140" t="e">
        <f>'[1]Pop-Alvo-CNMenAfricVac por AS'!D123</f>
        <v>#REF!</v>
      </c>
      <c r="D117" s="141">
        <v>0.33999999999999997</v>
      </c>
      <c r="E117" s="141">
        <v>0.65999999999999992</v>
      </c>
      <c r="F117" s="141">
        <v>0</v>
      </c>
      <c r="G117" s="142" t="e">
        <f t="shared" si="24"/>
        <v>#REF!</v>
      </c>
      <c r="H117" s="142" t="e">
        <f t="shared" si="25"/>
        <v>#REF!</v>
      </c>
      <c r="I117" s="142" t="e">
        <f t="shared" si="26"/>
        <v>#REF!</v>
      </c>
      <c r="J117" s="143" t="e">
        <f t="shared" si="30"/>
        <v>#REF!</v>
      </c>
      <c r="K117" s="143" t="e">
        <f t="shared" si="30"/>
        <v>#REF!</v>
      </c>
      <c r="L117" s="144" t="e">
        <f t="shared" si="30"/>
        <v>#REF!</v>
      </c>
      <c r="M117" s="145" t="e">
        <f t="shared" si="42"/>
        <v>#REF!</v>
      </c>
      <c r="N117" s="146" t="e">
        <f t="shared" si="31"/>
        <v>#REF!</v>
      </c>
      <c r="O117" s="146" t="e">
        <f t="shared" si="32"/>
        <v>#REF!</v>
      </c>
      <c r="P117" s="146" t="e">
        <f t="shared" si="33"/>
        <v>#REF!</v>
      </c>
      <c r="Q117" s="147" t="e">
        <f t="shared" si="34"/>
        <v>#REF!</v>
      </c>
      <c r="R117" s="171" t="e">
        <f t="shared" si="43"/>
        <v>#REF!</v>
      </c>
      <c r="S117" s="167" t="e">
        <f t="shared" si="44"/>
        <v>#REF!</v>
      </c>
      <c r="T117" s="149" t="e">
        <f t="shared" si="44"/>
        <v>#REF!</v>
      </c>
      <c r="U117" s="149" t="e">
        <f t="shared" si="28"/>
        <v>#REF!</v>
      </c>
      <c r="V117" s="148"/>
      <c r="W117" s="148" t="e">
        <f t="shared" si="36"/>
        <v>#REF!</v>
      </c>
      <c r="X117" s="148" t="e">
        <f t="shared" si="45"/>
        <v>#REF!</v>
      </c>
      <c r="Y117" s="148" t="e">
        <f t="shared" si="45"/>
        <v>#REF!</v>
      </c>
      <c r="Z117" s="148"/>
      <c r="AA117" s="148"/>
      <c r="AB117" s="148"/>
      <c r="AC117" s="148"/>
      <c r="AD117" s="148"/>
      <c r="AE117" s="168">
        <v>0</v>
      </c>
      <c r="AF117" s="169">
        <v>7</v>
      </c>
      <c r="AG117" s="170">
        <f t="shared" si="38"/>
        <v>14</v>
      </c>
      <c r="AH117" s="149">
        <f t="shared" si="39"/>
        <v>7</v>
      </c>
      <c r="AI117" s="149">
        <f t="shared" si="46"/>
        <v>1.75</v>
      </c>
      <c r="AJ117" s="170">
        <v>2</v>
      </c>
      <c r="AK117" s="149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50"/>
      <c r="AV117" s="154"/>
    </row>
    <row r="118" spans="1:48" ht="17.25" thickTop="1" thickBot="1" x14ac:dyDescent="0.3">
      <c r="A118" s="138" t="s">
        <v>26</v>
      </c>
      <c r="B118" s="153" t="s">
        <v>240</v>
      </c>
      <c r="C118" s="140" t="e">
        <f>'[1]Pop-Alvo-CNMenAfricVac por AS'!D124</f>
        <v>#REF!</v>
      </c>
      <c r="D118" s="141">
        <v>0.33999999999999997</v>
      </c>
      <c r="E118" s="141">
        <v>0.65999999999999992</v>
      </c>
      <c r="F118" s="141">
        <v>0</v>
      </c>
      <c r="G118" s="142" t="e">
        <f t="shared" si="24"/>
        <v>#REF!</v>
      </c>
      <c r="H118" s="142" t="e">
        <f t="shared" si="25"/>
        <v>#REF!</v>
      </c>
      <c r="I118" s="142" t="e">
        <f t="shared" si="26"/>
        <v>#REF!</v>
      </c>
      <c r="J118" s="143" t="e">
        <f t="shared" si="30"/>
        <v>#REF!</v>
      </c>
      <c r="K118" s="143" t="e">
        <f t="shared" si="30"/>
        <v>#REF!</v>
      </c>
      <c r="L118" s="144" t="e">
        <f t="shared" si="30"/>
        <v>#REF!</v>
      </c>
      <c r="M118" s="145" t="e">
        <f t="shared" si="42"/>
        <v>#REF!</v>
      </c>
      <c r="N118" s="146" t="e">
        <f t="shared" si="31"/>
        <v>#REF!</v>
      </c>
      <c r="O118" s="146" t="e">
        <f t="shared" si="32"/>
        <v>#REF!</v>
      </c>
      <c r="P118" s="146" t="e">
        <f t="shared" si="33"/>
        <v>#REF!</v>
      </c>
      <c r="Q118" s="147" t="e">
        <f t="shared" si="34"/>
        <v>#REF!</v>
      </c>
      <c r="R118" s="171" t="e">
        <f t="shared" si="43"/>
        <v>#REF!</v>
      </c>
      <c r="S118" s="167" t="e">
        <f t="shared" si="44"/>
        <v>#REF!</v>
      </c>
      <c r="T118" s="149" t="e">
        <f t="shared" si="44"/>
        <v>#REF!</v>
      </c>
      <c r="U118" s="149" t="e">
        <f t="shared" si="28"/>
        <v>#REF!</v>
      </c>
      <c r="V118" s="148"/>
      <c r="W118" s="148" t="e">
        <f t="shared" si="36"/>
        <v>#REF!</v>
      </c>
      <c r="X118" s="148" t="e">
        <f t="shared" si="45"/>
        <v>#REF!</v>
      </c>
      <c r="Y118" s="148" t="e">
        <f t="shared" si="45"/>
        <v>#REF!</v>
      </c>
      <c r="Z118" s="148"/>
      <c r="AA118" s="148"/>
      <c r="AB118" s="148"/>
      <c r="AC118" s="148"/>
      <c r="AD118" s="148"/>
      <c r="AE118" s="168">
        <v>0</v>
      </c>
      <c r="AF118" s="169">
        <v>7</v>
      </c>
      <c r="AG118" s="170">
        <f t="shared" si="38"/>
        <v>14</v>
      </c>
      <c r="AH118" s="149">
        <f t="shared" si="39"/>
        <v>7</v>
      </c>
      <c r="AI118" s="149">
        <f t="shared" si="46"/>
        <v>1.75</v>
      </c>
      <c r="AJ118" s="170">
        <v>2</v>
      </c>
      <c r="AK118" s="149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50"/>
      <c r="AV118" s="154"/>
    </row>
    <row r="119" spans="1:48" ht="17.25" thickTop="1" thickBot="1" x14ac:dyDescent="0.3">
      <c r="A119" s="138" t="s">
        <v>26</v>
      </c>
      <c r="B119" s="153" t="s">
        <v>241</v>
      </c>
      <c r="C119" s="140" t="e">
        <f>'[1]Pop-Alvo-CNMenAfricVac por AS'!D125</f>
        <v>#REF!</v>
      </c>
      <c r="D119" s="141">
        <v>0.33999999999999997</v>
      </c>
      <c r="E119" s="141">
        <v>0.65999999999999992</v>
      </c>
      <c r="F119" s="141">
        <v>0</v>
      </c>
      <c r="G119" s="142" t="e">
        <f t="shared" si="24"/>
        <v>#REF!</v>
      </c>
      <c r="H119" s="142" t="e">
        <f t="shared" si="25"/>
        <v>#REF!</v>
      </c>
      <c r="I119" s="142" t="e">
        <f t="shared" si="26"/>
        <v>#REF!</v>
      </c>
      <c r="J119" s="143" t="e">
        <f t="shared" si="30"/>
        <v>#REF!</v>
      </c>
      <c r="K119" s="143" t="e">
        <f t="shared" si="30"/>
        <v>#REF!</v>
      </c>
      <c r="L119" s="144" t="e">
        <f t="shared" si="30"/>
        <v>#REF!</v>
      </c>
      <c r="M119" s="145" t="e">
        <f t="shared" si="42"/>
        <v>#REF!</v>
      </c>
      <c r="N119" s="146" t="e">
        <f t="shared" si="31"/>
        <v>#REF!</v>
      </c>
      <c r="O119" s="146" t="e">
        <f t="shared" si="32"/>
        <v>#REF!</v>
      </c>
      <c r="P119" s="146" t="e">
        <f t="shared" si="33"/>
        <v>#REF!</v>
      </c>
      <c r="Q119" s="147" t="e">
        <f t="shared" si="34"/>
        <v>#REF!</v>
      </c>
      <c r="R119" s="171" t="e">
        <f t="shared" si="43"/>
        <v>#REF!</v>
      </c>
      <c r="S119" s="167" t="e">
        <f t="shared" si="44"/>
        <v>#REF!</v>
      </c>
      <c r="T119" s="149" t="e">
        <f t="shared" si="44"/>
        <v>#REF!</v>
      </c>
      <c r="U119" s="149" t="e">
        <f t="shared" si="28"/>
        <v>#REF!</v>
      </c>
      <c r="V119" s="148"/>
      <c r="W119" s="148" t="e">
        <f t="shared" si="36"/>
        <v>#REF!</v>
      </c>
      <c r="X119" s="148" t="e">
        <f t="shared" si="45"/>
        <v>#REF!</v>
      </c>
      <c r="Y119" s="148" t="e">
        <f t="shared" si="45"/>
        <v>#REF!</v>
      </c>
      <c r="Z119" s="148"/>
      <c r="AA119" s="148"/>
      <c r="AB119" s="148"/>
      <c r="AC119" s="148"/>
      <c r="AD119" s="148"/>
      <c r="AE119" s="168">
        <v>0</v>
      </c>
      <c r="AF119" s="169">
        <v>4</v>
      </c>
      <c r="AG119" s="170">
        <f t="shared" si="38"/>
        <v>8</v>
      </c>
      <c r="AH119" s="149">
        <f t="shared" si="39"/>
        <v>4</v>
      </c>
      <c r="AI119" s="149">
        <f t="shared" si="46"/>
        <v>1</v>
      </c>
      <c r="AJ119" s="170">
        <v>1</v>
      </c>
      <c r="AK119" s="149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50"/>
      <c r="AV119" s="154"/>
    </row>
    <row r="120" spans="1:48" ht="17.25" thickTop="1" thickBot="1" x14ac:dyDescent="0.3">
      <c r="A120" s="138" t="s">
        <v>26</v>
      </c>
      <c r="B120" s="153" t="s">
        <v>242</v>
      </c>
      <c r="C120" s="140" t="e">
        <f>'[1]Pop-Alvo-CNMenAfricVac por AS'!D126</f>
        <v>#REF!</v>
      </c>
      <c r="D120" s="141">
        <v>0.33999999999999997</v>
      </c>
      <c r="E120" s="141">
        <v>0.65999999999999992</v>
      </c>
      <c r="F120" s="141">
        <v>0</v>
      </c>
      <c r="G120" s="142" t="e">
        <f t="shared" si="24"/>
        <v>#REF!</v>
      </c>
      <c r="H120" s="142" t="e">
        <f t="shared" si="25"/>
        <v>#REF!</v>
      </c>
      <c r="I120" s="142" t="e">
        <f t="shared" si="26"/>
        <v>#REF!</v>
      </c>
      <c r="J120" s="143" t="e">
        <f t="shared" si="30"/>
        <v>#REF!</v>
      </c>
      <c r="K120" s="143" t="e">
        <f t="shared" si="30"/>
        <v>#REF!</v>
      </c>
      <c r="L120" s="144" t="e">
        <f t="shared" si="30"/>
        <v>#REF!</v>
      </c>
      <c r="M120" s="145" t="e">
        <f t="shared" si="42"/>
        <v>#REF!</v>
      </c>
      <c r="N120" s="146" t="e">
        <f t="shared" si="31"/>
        <v>#REF!</v>
      </c>
      <c r="O120" s="146" t="e">
        <f t="shared" si="32"/>
        <v>#REF!</v>
      </c>
      <c r="P120" s="146" t="e">
        <f t="shared" si="33"/>
        <v>#REF!</v>
      </c>
      <c r="Q120" s="147" t="e">
        <f t="shared" si="34"/>
        <v>#REF!</v>
      </c>
      <c r="R120" s="172" t="e">
        <f t="shared" si="43"/>
        <v>#REF!</v>
      </c>
      <c r="S120" s="167" t="e">
        <f t="shared" si="44"/>
        <v>#REF!</v>
      </c>
      <c r="T120" s="149" t="e">
        <f t="shared" si="44"/>
        <v>#REF!</v>
      </c>
      <c r="U120" s="149" t="e">
        <f t="shared" si="28"/>
        <v>#REF!</v>
      </c>
      <c r="V120" s="148"/>
      <c r="W120" s="148" t="e">
        <f t="shared" si="36"/>
        <v>#REF!</v>
      </c>
      <c r="X120" s="148" t="e">
        <f t="shared" si="45"/>
        <v>#REF!</v>
      </c>
      <c r="Y120" s="148" t="e">
        <f t="shared" si="45"/>
        <v>#REF!</v>
      </c>
      <c r="Z120" s="148"/>
      <c r="AA120" s="148"/>
      <c r="AB120" s="148"/>
      <c r="AC120" s="148"/>
      <c r="AD120" s="148"/>
      <c r="AE120" s="168">
        <v>0</v>
      </c>
      <c r="AF120" s="169">
        <v>5</v>
      </c>
      <c r="AG120" s="170">
        <f t="shared" si="38"/>
        <v>10</v>
      </c>
      <c r="AH120" s="149">
        <f t="shared" si="39"/>
        <v>5</v>
      </c>
      <c r="AI120" s="149">
        <f t="shared" si="46"/>
        <v>1.25</v>
      </c>
      <c r="AJ120" s="170">
        <v>1</v>
      </c>
      <c r="AK120" s="149">
        <v>27</v>
      </c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50"/>
      <c r="AV120" s="154"/>
    </row>
    <row r="121" spans="1:48" ht="17.25" thickTop="1" thickBot="1" x14ac:dyDescent="0.3">
      <c r="A121" s="138" t="s">
        <v>243</v>
      </c>
      <c r="B121" s="153" t="s">
        <v>244</v>
      </c>
      <c r="C121" s="140" t="e">
        <f>'[1]Pop-Alvo-CNMenAfricVac por AS'!D127</f>
        <v>#REF!</v>
      </c>
      <c r="D121" s="141">
        <v>9.721651602300739E-2</v>
      </c>
      <c r="E121" s="141">
        <v>0.12181594083812654</v>
      </c>
      <c r="F121" s="141">
        <v>0.78096754313886607</v>
      </c>
      <c r="G121" s="142" t="e">
        <f t="shared" si="24"/>
        <v>#REF!</v>
      </c>
      <c r="H121" s="142" t="e">
        <f t="shared" si="25"/>
        <v>#REF!</v>
      </c>
      <c r="I121" s="142" t="e">
        <f t="shared" si="26"/>
        <v>#REF!</v>
      </c>
      <c r="J121" s="143" t="e">
        <f t="shared" si="30"/>
        <v>#REF!</v>
      </c>
      <c r="K121" s="143" t="e">
        <f t="shared" si="30"/>
        <v>#REF!</v>
      </c>
      <c r="L121" s="144" t="e">
        <f t="shared" si="30"/>
        <v>#REF!</v>
      </c>
      <c r="M121" s="145" t="e">
        <f t="shared" si="42"/>
        <v>#REF!</v>
      </c>
      <c r="N121" s="146" t="e">
        <f t="shared" si="31"/>
        <v>#REF!</v>
      </c>
      <c r="O121" s="146" t="e">
        <f t="shared" si="32"/>
        <v>#REF!</v>
      </c>
      <c r="P121" s="146" t="e">
        <f t="shared" si="33"/>
        <v>#REF!</v>
      </c>
      <c r="Q121" s="147" t="e">
        <f t="shared" si="34"/>
        <v>#REF!</v>
      </c>
      <c r="R121" s="173" t="e">
        <f t="shared" si="35"/>
        <v>#REF!</v>
      </c>
      <c r="S121" s="149" t="e">
        <f t="shared" si="44"/>
        <v>#REF!</v>
      </c>
      <c r="T121" s="149" t="e">
        <f t="shared" si="44"/>
        <v>#REF!</v>
      </c>
      <c r="U121" s="149" t="e">
        <f t="shared" si="28"/>
        <v>#REF!</v>
      </c>
      <c r="V121" s="148"/>
      <c r="W121" s="148" t="e">
        <f t="shared" si="36"/>
        <v>#REF!</v>
      </c>
      <c r="X121" s="148" t="e">
        <f t="shared" si="45"/>
        <v>#REF!</v>
      </c>
      <c r="Y121" s="148" t="e">
        <f t="shared" si="45"/>
        <v>#REF!</v>
      </c>
      <c r="Z121" s="148"/>
      <c r="AA121" s="148"/>
      <c r="AB121" s="148"/>
      <c r="AC121" s="148"/>
      <c r="AD121" s="148"/>
      <c r="AE121" s="150" t="e">
        <f t="shared" si="37"/>
        <v>#REF!</v>
      </c>
      <c r="AF121" s="154">
        <v>5</v>
      </c>
      <c r="AG121" s="174">
        <f t="shared" si="38"/>
        <v>10</v>
      </c>
      <c r="AH121" s="149">
        <f t="shared" si="39"/>
        <v>5</v>
      </c>
      <c r="AI121" s="149">
        <f t="shared" si="40"/>
        <v>1.6666666666666667</v>
      </c>
      <c r="AJ121" s="174">
        <v>2</v>
      </c>
      <c r="AK121" s="149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50"/>
      <c r="AV121" s="154"/>
    </row>
    <row r="122" spans="1:48" ht="17.25" thickTop="1" thickBot="1" x14ac:dyDescent="0.3">
      <c r="A122" s="138" t="s">
        <v>243</v>
      </c>
      <c r="B122" s="153" t="s">
        <v>245</v>
      </c>
      <c r="C122" s="140" t="e">
        <f>'[1]Pop-Alvo-CNMenAfricVac por AS'!D128</f>
        <v>#REF!</v>
      </c>
      <c r="D122" s="141">
        <v>0.50016520733520564</v>
      </c>
      <c r="E122" s="141">
        <v>0.39534115314719975</v>
      </c>
      <c r="F122" s="141">
        <v>0.10449363951759458</v>
      </c>
      <c r="G122" s="142" t="e">
        <f t="shared" si="24"/>
        <v>#REF!</v>
      </c>
      <c r="H122" s="142" t="e">
        <f t="shared" si="25"/>
        <v>#REF!</v>
      </c>
      <c r="I122" s="142" t="e">
        <f t="shared" si="26"/>
        <v>#REF!</v>
      </c>
      <c r="J122" s="143" t="e">
        <f t="shared" si="30"/>
        <v>#REF!</v>
      </c>
      <c r="K122" s="143" t="e">
        <f t="shared" si="30"/>
        <v>#REF!</v>
      </c>
      <c r="L122" s="144" t="e">
        <f t="shared" si="30"/>
        <v>#REF!</v>
      </c>
      <c r="M122" s="145" t="e">
        <f t="shared" si="42"/>
        <v>#REF!</v>
      </c>
      <c r="N122" s="146" t="e">
        <f t="shared" si="31"/>
        <v>#REF!</v>
      </c>
      <c r="O122" s="146" t="e">
        <f t="shared" si="32"/>
        <v>#REF!</v>
      </c>
      <c r="P122" s="146" t="e">
        <f t="shared" si="33"/>
        <v>#REF!</v>
      </c>
      <c r="Q122" s="147" t="e">
        <f t="shared" si="34"/>
        <v>#REF!</v>
      </c>
      <c r="R122" s="148" t="e">
        <f t="shared" si="35"/>
        <v>#REF!</v>
      </c>
      <c r="S122" s="149" t="e">
        <f t="shared" si="44"/>
        <v>#REF!</v>
      </c>
      <c r="T122" s="149" t="e">
        <f t="shared" si="44"/>
        <v>#REF!</v>
      </c>
      <c r="U122" s="149" t="e">
        <f t="shared" si="28"/>
        <v>#REF!</v>
      </c>
      <c r="V122" s="148"/>
      <c r="W122" s="148" t="e">
        <f t="shared" si="36"/>
        <v>#REF!</v>
      </c>
      <c r="X122" s="148" t="e">
        <f t="shared" si="45"/>
        <v>#REF!</v>
      </c>
      <c r="Y122" s="148" t="e">
        <f t="shared" si="45"/>
        <v>#REF!</v>
      </c>
      <c r="Z122" s="148"/>
      <c r="AA122" s="148"/>
      <c r="AB122" s="148"/>
      <c r="AC122" s="148"/>
      <c r="AD122" s="148"/>
      <c r="AE122" s="150" t="e">
        <f t="shared" si="37"/>
        <v>#REF!</v>
      </c>
      <c r="AF122" s="154">
        <v>4</v>
      </c>
      <c r="AG122" s="174">
        <f t="shared" si="38"/>
        <v>8</v>
      </c>
      <c r="AH122" s="149">
        <f t="shared" si="39"/>
        <v>4</v>
      </c>
      <c r="AI122" s="149">
        <f t="shared" si="40"/>
        <v>1.3333333333333333</v>
      </c>
      <c r="AJ122" s="174">
        <v>1</v>
      </c>
      <c r="AK122" s="149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50"/>
      <c r="AV122" s="154"/>
    </row>
    <row r="123" spans="1:48" ht="17.25" thickTop="1" thickBot="1" x14ac:dyDescent="0.3">
      <c r="A123" s="138" t="s">
        <v>243</v>
      </c>
      <c r="B123" s="153" t="s">
        <v>246</v>
      </c>
      <c r="C123" s="140" t="e">
        <f>'[1]Pop-Alvo-CNMenAfricVac por AS'!D129</f>
        <v>#REF!</v>
      </c>
      <c r="D123" s="141">
        <v>0.15800532287435215</v>
      </c>
      <c r="E123" s="141">
        <v>0.5348788345706682</v>
      </c>
      <c r="F123" s="141">
        <v>0.3071158425549797</v>
      </c>
      <c r="G123" s="142" t="e">
        <f t="shared" si="24"/>
        <v>#REF!</v>
      </c>
      <c r="H123" s="142" t="e">
        <f t="shared" si="25"/>
        <v>#REF!</v>
      </c>
      <c r="I123" s="142" t="e">
        <f t="shared" si="26"/>
        <v>#REF!</v>
      </c>
      <c r="J123" s="143" t="e">
        <f t="shared" si="30"/>
        <v>#REF!</v>
      </c>
      <c r="K123" s="143" t="e">
        <f t="shared" si="30"/>
        <v>#REF!</v>
      </c>
      <c r="L123" s="144" t="e">
        <f t="shared" si="30"/>
        <v>#REF!</v>
      </c>
      <c r="M123" s="145" t="e">
        <f t="shared" si="42"/>
        <v>#REF!</v>
      </c>
      <c r="N123" s="146" t="e">
        <f t="shared" si="31"/>
        <v>#REF!</v>
      </c>
      <c r="O123" s="146" t="e">
        <f t="shared" si="32"/>
        <v>#REF!</v>
      </c>
      <c r="P123" s="146" t="e">
        <f t="shared" si="33"/>
        <v>#REF!</v>
      </c>
      <c r="Q123" s="147" t="e">
        <f t="shared" si="34"/>
        <v>#REF!</v>
      </c>
      <c r="R123" s="148" t="e">
        <f t="shared" si="35"/>
        <v>#REF!</v>
      </c>
      <c r="S123" s="149" t="e">
        <f t="shared" si="44"/>
        <v>#REF!</v>
      </c>
      <c r="T123" s="149" t="e">
        <f t="shared" si="44"/>
        <v>#REF!</v>
      </c>
      <c r="U123" s="149" t="e">
        <f t="shared" si="28"/>
        <v>#REF!</v>
      </c>
      <c r="V123" s="148"/>
      <c r="W123" s="148" t="e">
        <f t="shared" si="36"/>
        <v>#REF!</v>
      </c>
      <c r="X123" s="148" t="e">
        <f t="shared" si="45"/>
        <v>#REF!</v>
      </c>
      <c r="Y123" s="148" t="e">
        <f t="shared" si="45"/>
        <v>#REF!</v>
      </c>
      <c r="Z123" s="148"/>
      <c r="AA123" s="148"/>
      <c r="AB123" s="148"/>
      <c r="AC123" s="148"/>
      <c r="AD123" s="148"/>
      <c r="AE123" s="150" t="e">
        <f t="shared" si="37"/>
        <v>#REF!</v>
      </c>
      <c r="AF123" s="154">
        <v>5</v>
      </c>
      <c r="AG123" s="174">
        <f t="shared" si="38"/>
        <v>10</v>
      </c>
      <c r="AH123" s="149">
        <f t="shared" si="39"/>
        <v>5</v>
      </c>
      <c r="AI123" s="149">
        <f t="shared" si="40"/>
        <v>1.6666666666666667</v>
      </c>
      <c r="AJ123" s="174">
        <v>2</v>
      </c>
      <c r="AK123" s="149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50"/>
      <c r="AV123" s="154"/>
    </row>
    <row r="124" spans="1:48" ht="17.25" thickTop="1" thickBot="1" x14ac:dyDescent="0.3">
      <c r="A124" s="138" t="s">
        <v>243</v>
      </c>
      <c r="B124" s="153" t="s">
        <v>247</v>
      </c>
      <c r="C124" s="140" t="e">
        <f>'[1]Pop-Alvo-CNMenAfricVac por AS'!D130</f>
        <v>#REF!</v>
      </c>
      <c r="D124" s="141">
        <v>0.51181171127898351</v>
      </c>
      <c r="E124" s="141">
        <v>0.24514213353128683</v>
      </c>
      <c r="F124" s="141">
        <v>0.24304615518972972</v>
      </c>
      <c r="G124" s="142" t="e">
        <f t="shared" si="24"/>
        <v>#REF!</v>
      </c>
      <c r="H124" s="142" t="e">
        <f t="shared" si="25"/>
        <v>#REF!</v>
      </c>
      <c r="I124" s="142" t="e">
        <f t="shared" si="26"/>
        <v>#REF!</v>
      </c>
      <c r="J124" s="143" t="e">
        <f t="shared" si="30"/>
        <v>#REF!</v>
      </c>
      <c r="K124" s="143" t="e">
        <f t="shared" si="30"/>
        <v>#REF!</v>
      </c>
      <c r="L124" s="144" t="e">
        <f t="shared" si="30"/>
        <v>#REF!</v>
      </c>
      <c r="M124" s="145" t="e">
        <f t="shared" si="42"/>
        <v>#REF!</v>
      </c>
      <c r="N124" s="146" t="e">
        <f t="shared" si="31"/>
        <v>#REF!</v>
      </c>
      <c r="O124" s="146" t="e">
        <f t="shared" si="32"/>
        <v>#REF!</v>
      </c>
      <c r="P124" s="146" t="e">
        <f t="shared" si="33"/>
        <v>#REF!</v>
      </c>
      <c r="Q124" s="147" t="e">
        <f t="shared" si="34"/>
        <v>#REF!</v>
      </c>
      <c r="R124" s="148" t="e">
        <f t="shared" si="35"/>
        <v>#REF!</v>
      </c>
      <c r="S124" s="149" t="e">
        <f t="shared" si="44"/>
        <v>#REF!</v>
      </c>
      <c r="T124" s="149" t="e">
        <f t="shared" si="44"/>
        <v>#REF!</v>
      </c>
      <c r="U124" s="149" t="e">
        <f t="shared" si="28"/>
        <v>#REF!</v>
      </c>
      <c r="V124" s="148"/>
      <c r="W124" s="148" t="e">
        <f t="shared" si="36"/>
        <v>#REF!</v>
      </c>
      <c r="X124" s="148" t="e">
        <f t="shared" ref="X124:Y128" si="47">ROUND(IF(W124&lt;=15,W124,15),0)</f>
        <v>#REF!</v>
      </c>
      <c r="Y124" s="148" t="e">
        <f t="shared" si="47"/>
        <v>#REF!</v>
      </c>
      <c r="Z124" s="148"/>
      <c r="AA124" s="148"/>
      <c r="AB124" s="148"/>
      <c r="AC124" s="148"/>
      <c r="AD124" s="148"/>
      <c r="AE124" s="150" t="e">
        <f t="shared" si="37"/>
        <v>#REF!</v>
      </c>
      <c r="AF124" s="154">
        <v>6</v>
      </c>
      <c r="AG124" s="174">
        <f t="shared" si="38"/>
        <v>12</v>
      </c>
      <c r="AH124" s="149">
        <f t="shared" si="39"/>
        <v>6</v>
      </c>
      <c r="AI124" s="149">
        <f t="shared" si="40"/>
        <v>2</v>
      </c>
      <c r="AJ124" s="174">
        <v>2</v>
      </c>
      <c r="AK124" s="149">
        <v>2</v>
      </c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50"/>
      <c r="AV124" s="154"/>
    </row>
    <row r="125" spans="1:48" ht="17.25" thickTop="1" thickBot="1" x14ac:dyDescent="0.3">
      <c r="A125" s="138" t="s">
        <v>243</v>
      </c>
      <c r="B125" s="153" t="s">
        <v>248</v>
      </c>
      <c r="C125" s="140" t="e">
        <f>'[1]Pop-Alvo-CNMenAfricVac por AS'!D131</f>
        <v>#REF!</v>
      </c>
      <c r="D125" s="141">
        <v>0.22831597382247212</v>
      </c>
      <c r="E125" s="141">
        <v>0.47368421052631576</v>
      </c>
      <c r="F125" s="141">
        <v>0.29799981565121209</v>
      </c>
      <c r="G125" s="142" t="e">
        <f t="shared" si="24"/>
        <v>#REF!</v>
      </c>
      <c r="H125" s="142" t="e">
        <f t="shared" si="25"/>
        <v>#REF!</v>
      </c>
      <c r="I125" s="142" t="e">
        <f t="shared" si="26"/>
        <v>#REF!</v>
      </c>
      <c r="J125" s="143" t="e">
        <f t="shared" si="30"/>
        <v>#REF!</v>
      </c>
      <c r="K125" s="143" t="e">
        <f t="shared" si="30"/>
        <v>#REF!</v>
      </c>
      <c r="L125" s="144" t="e">
        <f t="shared" si="30"/>
        <v>#REF!</v>
      </c>
      <c r="M125" s="145" t="e">
        <f t="shared" si="42"/>
        <v>#REF!</v>
      </c>
      <c r="N125" s="146" t="e">
        <f t="shared" si="31"/>
        <v>#REF!</v>
      </c>
      <c r="O125" s="146" t="e">
        <f t="shared" si="32"/>
        <v>#REF!</v>
      </c>
      <c r="P125" s="146" t="e">
        <f t="shared" si="33"/>
        <v>#REF!</v>
      </c>
      <c r="Q125" s="147" t="e">
        <f t="shared" si="34"/>
        <v>#REF!</v>
      </c>
      <c r="R125" s="148" t="e">
        <f t="shared" si="35"/>
        <v>#REF!</v>
      </c>
      <c r="S125" s="149" t="e">
        <f t="shared" si="44"/>
        <v>#REF!</v>
      </c>
      <c r="T125" s="149" t="e">
        <f t="shared" si="44"/>
        <v>#REF!</v>
      </c>
      <c r="U125" s="149" t="e">
        <f t="shared" si="28"/>
        <v>#REF!</v>
      </c>
      <c r="V125" s="148"/>
      <c r="W125" s="148" t="e">
        <f t="shared" si="36"/>
        <v>#REF!</v>
      </c>
      <c r="X125" s="148" t="e">
        <f t="shared" si="47"/>
        <v>#REF!</v>
      </c>
      <c r="Y125" s="148" t="e">
        <f t="shared" si="47"/>
        <v>#REF!</v>
      </c>
      <c r="Z125" s="148"/>
      <c r="AA125" s="148"/>
      <c r="AB125" s="148"/>
      <c r="AC125" s="148"/>
      <c r="AD125" s="148"/>
      <c r="AE125" s="150" t="e">
        <f t="shared" si="37"/>
        <v>#REF!</v>
      </c>
      <c r="AF125" s="154">
        <v>3</v>
      </c>
      <c r="AG125" s="174">
        <f t="shared" si="38"/>
        <v>6</v>
      </c>
      <c r="AH125" s="149">
        <f t="shared" si="39"/>
        <v>3</v>
      </c>
      <c r="AI125" s="149">
        <f t="shared" si="40"/>
        <v>1</v>
      </c>
      <c r="AJ125" s="174">
        <v>1</v>
      </c>
      <c r="AK125" s="149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50"/>
      <c r="AV125" s="154"/>
    </row>
    <row r="126" spans="1:48" ht="17.25" thickTop="1" thickBot="1" x14ac:dyDescent="0.3">
      <c r="A126" s="138" t="s">
        <v>243</v>
      </c>
      <c r="B126" s="153" t="s">
        <v>249</v>
      </c>
      <c r="C126" s="140" t="e">
        <f>'[1]Pop-Alvo-CNMenAfricVac por AS'!D132</f>
        <v>#REF!</v>
      </c>
      <c r="D126" s="141">
        <v>0.54451405490066773</v>
      </c>
      <c r="E126" s="141">
        <v>0.41756656499876349</v>
      </c>
      <c r="F126" s="141">
        <v>3.7919380100568792E-2</v>
      </c>
      <c r="G126" s="142" t="e">
        <f t="shared" si="24"/>
        <v>#REF!</v>
      </c>
      <c r="H126" s="142" t="e">
        <f t="shared" si="25"/>
        <v>#REF!</v>
      </c>
      <c r="I126" s="142" t="e">
        <f t="shared" si="26"/>
        <v>#REF!</v>
      </c>
      <c r="J126" s="143" t="e">
        <f t="shared" si="30"/>
        <v>#REF!</v>
      </c>
      <c r="K126" s="143" t="e">
        <f t="shared" si="30"/>
        <v>#REF!</v>
      </c>
      <c r="L126" s="144" t="e">
        <f t="shared" si="30"/>
        <v>#REF!</v>
      </c>
      <c r="M126" s="145" t="e">
        <f t="shared" si="42"/>
        <v>#REF!</v>
      </c>
      <c r="N126" s="146" t="e">
        <f t="shared" si="31"/>
        <v>#REF!</v>
      </c>
      <c r="O126" s="146" t="e">
        <f t="shared" si="32"/>
        <v>#REF!</v>
      </c>
      <c r="P126" s="146" t="e">
        <f t="shared" si="33"/>
        <v>#REF!</v>
      </c>
      <c r="Q126" s="147" t="e">
        <f t="shared" si="34"/>
        <v>#REF!</v>
      </c>
      <c r="R126" s="148" t="e">
        <f t="shared" si="35"/>
        <v>#REF!</v>
      </c>
      <c r="S126" s="149" t="e">
        <f t="shared" si="44"/>
        <v>#REF!</v>
      </c>
      <c r="T126" s="149" t="e">
        <f t="shared" si="44"/>
        <v>#REF!</v>
      </c>
      <c r="U126" s="149" t="e">
        <f t="shared" si="28"/>
        <v>#REF!</v>
      </c>
      <c r="V126" s="148"/>
      <c r="W126" s="148" t="e">
        <f t="shared" si="36"/>
        <v>#REF!</v>
      </c>
      <c r="X126" s="148" t="e">
        <f t="shared" si="47"/>
        <v>#REF!</v>
      </c>
      <c r="Y126" s="148" t="e">
        <f t="shared" si="47"/>
        <v>#REF!</v>
      </c>
      <c r="Z126" s="148"/>
      <c r="AA126" s="148"/>
      <c r="AB126" s="148"/>
      <c r="AC126" s="148"/>
      <c r="AD126" s="148"/>
      <c r="AE126" s="150" t="e">
        <f t="shared" si="37"/>
        <v>#REF!</v>
      </c>
      <c r="AF126" s="154">
        <v>7</v>
      </c>
      <c r="AG126" s="174">
        <f t="shared" si="38"/>
        <v>14</v>
      </c>
      <c r="AH126" s="149">
        <f t="shared" si="39"/>
        <v>7</v>
      </c>
      <c r="AI126" s="149">
        <f t="shared" si="40"/>
        <v>2.3333333333333335</v>
      </c>
      <c r="AJ126" s="174">
        <v>2</v>
      </c>
      <c r="AK126" s="149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50"/>
      <c r="AV126" s="154"/>
    </row>
    <row r="127" spans="1:48" ht="17.25" thickTop="1" thickBot="1" x14ac:dyDescent="0.3">
      <c r="A127" s="138" t="s">
        <v>243</v>
      </c>
      <c r="B127" s="153" t="s">
        <v>250</v>
      </c>
      <c r="C127" s="140" t="e">
        <f>'[1]Pop-Alvo-CNMenAfricVac por AS'!D133</f>
        <v>#REF!</v>
      </c>
      <c r="D127" s="141">
        <v>0.38960521068722587</v>
      </c>
      <c r="E127" s="141">
        <v>0.61039478931277413</v>
      </c>
      <c r="F127" s="141">
        <v>0</v>
      </c>
      <c r="G127" s="142" t="e">
        <f t="shared" si="24"/>
        <v>#REF!</v>
      </c>
      <c r="H127" s="142" t="e">
        <f t="shared" si="25"/>
        <v>#REF!</v>
      </c>
      <c r="I127" s="142" t="e">
        <f t="shared" si="26"/>
        <v>#REF!</v>
      </c>
      <c r="J127" s="143" t="e">
        <f t="shared" si="30"/>
        <v>#REF!</v>
      </c>
      <c r="K127" s="143" t="e">
        <f t="shared" si="30"/>
        <v>#REF!</v>
      </c>
      <c r="L127" s="144" t="e">
        <f t="shared" si="30"/>
        <v>#REF!</v>
      </c>
      <c r="M127" s="145" t="e">
        <f t="shared" si="42"/>
        <v>#REF!</v>
      </c>
      <c r="N127" s="146" t="e">
        <f t="shared" si="31"/>
        <v>#REF!</v>
      </c>
      <c r="O127" s="146" t="e">
        <f t="shared" si="32"/>
        <v>#REF!</v>
      </c>
      <c r="P127" s="146" t="e">
        <f t="shared" si="33"/>
        <v>#REF!</v>
      </c>
      <c r="Q127" s="147" t="e">
        <f t="shared" si="34"/>
        <v>#REF!</v>
      </c>
      <c r="R127" s="148" t="e">
        <f t="shared" si="35"/>
        <v>#REF!</v>
      </c>
      <c r="S127" s="149" t="e">
        <f t="shared" si="44"/>
        <v>#REF!</v>
      </c>
      <c r="T127" s="149" t="e">
        <f t="shared" si="44"/>
        <v>#REF!</v>
      </c>
      <c r="U127" s="149" t="e">
        <f t="shared" si="28"/>
        <v>#REF!</v>
      </c>
      <c r="V127" s="148"/>
      <c r="W127" s="148" t="e">
        <f t="shared" si="36"/>
        <v>#REF!</v>
      </c>
      <c r="X127" s="148" t="e">
        <f t="shared" si="47"/>
        <v>#REF!</v>
      </c>
      <c r="Y127" s="148" t="e">
        <f t="shared" si="47"/>
        <v>#REF!</v>
      </c>
      <c r="Z127" s="148"/>
      <c r="AA127" s="148"/>
      <c r="AB127" s="148"/>
      <c r="AC127" s="148"/>
      <c r="AD127" s="148"/>
      <c r="AE127" s="150" t="e">
        <f t="shared" si="37"/>
        <v>#REF!</v>
      </c>
      <c r="AF127" s="154">
        <v>2</v>
      </c>
      <c r="AG127" s="174">
        <f t="shared" si="38"/>
        <v>4</v>
      </c>
      <c r="AH127" s="149">
        <f t="shared" si="39"/>
        <v>2</v>
      </c>
      <c r="AI127" s="149">
        <f t="shared" si="40"/>
        <v>0.66666666666666663</v>
      </c>
      <c r="AJ127" s="174">
        <v>1</v>
      </c>
      <c r="AK127" s="149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50"/>
      <c r="AV127" s="154"/>
    </row>
    <row r="128" spans="1:48" ht="17.25" thickTop="1" thickBot="1" x14ac:dyDescent="0.3">
      <c r="A128" s="138" t="s">
        <v>243</v>
      </c>
      <c r="B128" s="153" t="s">
        <v>251</v>
      </c>
      <c r="C128" s="140" t="e">
        <f>'[1]Pop-Alvo-CNMenAfricVac por AS'!D134</f>
        <v>#REF!</v>
      </c>
      <c r="D128" s="141">
        <v>0.20013937282229965</v>
      </c>
      <c r="E128" s="141">
        <v>0.39742160278745642</v>
      </c>
      <c r="F128" s="141">
        <v>0.40243902439024393</v>
      </c>
      <c r="G128" s="142" t="e">
        <f t="shared" si="24"/>
        <v>#REF!</v>
      </c>
      <c r="H128" s="142" t="e">
        <f t="shared" si="25"/>
        <v>#REF!</v>
      </c>
      <c r="I128" s="142" t="e">
        <f t="shared" si="26"/>
        <v>#REF!</v>
      </c>
      <c r="J128" s="143" t="e">
        <f t="shared" si="30"/>
        <v>#REF!</v>
      </c>
      <c r="K128" s="143" t="e">
        <f t="shared" si="30"/>
        <v>#REF!</v>
      </c>
      <c r="L128" s="144" t="e">
        <f t="shared" si="30"/>
        <v>#REF!</v>
      </c>
      <c r="M128" s="145" t="e">
        <f t="shared" si="42"/>
        <v>#REF!</v>
      </c>
      <c r="N128" s="146" t="e">
        <f t="shared" si="31"/>
        <v>#REF!</v>
      </c>
      <c r="O128" s="146" t="e">
        <f t="shared" si="32"/>
        <v>#REF!</v>
      </c>
      <c r="P128" s="146" t="e">
        <f t="shared" si="33"/>
        <v>#REF!</v>
      </c>
      <c r="Q128" s="147" t="e">
        <f t="shared" si="34"/>
        <v>#REF!</v>
      </c>
      <c r="R128" s="148" t="e">
        <f t="shared" si="35"/>
        <v>#REF!</v>
      </c>
      <c r="S128" s="149" t="e">
        <f t="shared" si="44"/>
        <v>#REF!</v>
      </c>
      <c r="T128" s="149" t="e">
        <f t="shared" si="44"/>
        <v>#REF!</v>
      </c>
      <c r="U128" s="149" t="e">
        <f t="shared" si="28"/>
        <v>#REF!</v>
      </c>
      <c r="V128" s="148"/>
      <c r="W128" s="148" t="e">
        <f t="shared" si="36"/>
        <v>#REF!</v>
      </c>
      <c r="X128" s="148" t="e">
        <f t="shared" si="47"/>
        <v>#REF!</v>
      </c>
      <c r="Y128" s="148" t="e">
        <f t="shared" si="47"/>
        <v>#REF!</v>
      </c>
      <c r="Z128" s="148"/>
      <c r="AA128" s="148"/>
      <c r="AB128" s="148"/>
      <c r="AC128" s="148"/>
      <c r="AD128" s="148"/>
      <c r="AE128" s="150" t="e">
        <f t="shared" si="37"/>
        <v>#REF!</v>
      </c>
      <c r="AF128" s="175">
        <v>4</v>
      </c>
      <c r="AG128" s="174">
        <f t="shared" si="38"/>
        <v>8</v>
      </c>
      <c r="AH128" s="149">
        <f t="shared" si="39"/>
        <v>4</v>
      </c>
      <c r="AI128" s="149">
        <f t="shared" si="40"/>
        <v>1.3333333333333333</v>
      </c>
      <c r="AJ128" s="174">
        <v>1</v>
      </c>
      <c r="AK128" s="149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50"/>
      <c r="AV128" s="175"/>
    </row>
    <row r="129" spans="1:48" s="127" customFormat="1" ht="16.5" thickBot="1" x14ac:dyDescent="0.3">
      <c r="A129" s="176"/>
      <c r="B129" s="176" t="s">
        <v>252</v>
      </c>
      <c r="C129" s="177" t="e">
        <f>SUM(C12:C128)</f>
        <v>#REF!</v>
      </c>
      <c r="D129" s="178"/>
      <c r="E129" s="179"/>
      <c r="F129" s="179"/>
      <c r="G129" s="177" t="e">
        <f>SUM(G12:G128)</f>
        <v>#REF!</v>
      </c>
      <c r="H129" s="177" t="e">
        <f>SUM(H12:H128)</f>
        <v>#REF!</v>
      </c>
      <c r="I129" s="177" t="e">
        <f>SUM(I12:I128)</f>
        <v>#REF!</v>
      </c>
      <c r="J129" s="180" t="e">
        <f t="shared" ref="J129:Q129" si="48">SUM(J12:J128)</f>
        <v>#REF!</v>
      </c>
      <c r="K129" s="180" t="e">
        <f t="shared" si="48"/>
        <v>#REF!</v>
      </c>
      <c r="L129" s="180" t="e">
        <f t="shared" si="48"/>
        <v>#REF!</v>
      </c>
      <c r="M129" s="181" t="e">
        <f t="shared" si="48"/>
        <v>#REF!</v>
      </c>
      <c r="N129" s="181" t="e">
        <f t="shared" si="48"/>
        <v>#REF!</v>
      </c>
      <c r="O129" s="181" t="e">
        <f t="shared" si="48"/>
        <v>#REF!</v>
      </c>
      <c r="P129" s="181" t="e">
        <f t="shared" si="48"/>
        <v>#REF!</v>
      </c>
      <c r="Q129" s="182" t="e">
        <f t="shared" si="48"/>
        <v>#REF!</v>
      </c>
      <c r="R129" s="183" t="e">
        <f>SUM(R12:R128)</f>
        <v>#REF!</v>
      </c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4" t="e">
        <f>SUM(AE12:AE128)</f>
        <v>#REF!</v>
      </c>
      <c r="AF129" s="185">
        <f>SUM(AF12:AF128)</f>
        <v>550</v>
      </c>
      <c r="AG129" s="185">
        <f t="shared" ref="AG129:AK129" si="49">SUM(AG12:AG128)</f>
        <v>1100</v>
      </c>
      <c r="AH129" s="185">
        <f t="shared" si="49"/>
        <v>550</v>
      </c>
      <c r="AI129" s="185">
        <f t="shared" si="49"/>
        <v>174.83333333333334</v>
      </c>
      <c r="AJ129" s="185">
        <f t="shared" si="49"/>
        <v>192</v>
      </c>
      <c r="AK129" s="185">
        <f t="shared" si="49"/>
        <v>60</v>
      </c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4"/>
      <c r="AV129" s="185"/>
    </row>
    <row r="130" spans="1:48" ht="16.5" thickTop="1" x14ac:dyDescent="0.25"/>
  </sheetData>
  <mergeCells count="8">
    <mergeCell ref="J9:P9"/>
    <mergeCell ref="A10:A11"/>
    <mergeCell ref="B10:B11"/>
    <mergeCell ref="C10:C11"/>
    <mergeCell ref="D10:F10"/>
    <mergeCell ref="G10:I10"/>
    <mergeCell ref="J10:M10"/>
    <mergeCell ref="N10:Q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143"/>
  <sheetViews>
    <sheetView topLeftCell="A10" zoomScale="120" zoomScaleNormal="120" workbookViewId="0">
      <pane xSplit="2" ySplit="2" topLeftCell="C14" activePane="bottomRight" state="frozen"/>
      <selection activeCell="A10" sqref="A10"/>
      <selection pane="topRight" activeCell="C10" sqref="C10"/>
      <selection pane="bottomLeft" activeCell="A12" sqref="A12"/>
      <selection pane="bottomRight" activeCell="F15" sqref="F15"/>
    </sheetView>
  </sheetViews>
  <sheetFormatPr baseColWidth="10" defaultColWidth="8.5" defaultRowHeight="15.75" x14ac:dyDescent="0.25"/>
  <cols>
    <col min="1" max="1" width="11.875" style="125" customWidth="1"/>
    <col min="2" max="2" width="16.125" style="123" customWidth="1"/>
    <col min="3" max="3" width="14.5" style="123" customWidth="1"/>
    <col min="4" max="4" width="10.375" style="123" customWidth="1"/>
    <col min="5" max="5" width="10.625" style="123" customWidth="1"/>
    <col min="6" max="6" width="10.5" style="123" customWidth="1"/>
    <col min="7" max="7" width="11.125" style="123" customWidth="1"/>
    <col min="8" max="8" width="11" style="123" customWidth="1"/>
    <col min="9" max="9" width="9.5" style="123" customWidth="1"/>
    <col min="10" max="10" width="10.5" style="123" customWidth="1"/>
    <col min="11" max="11" width="11" style="123" customWidth="1"/>
    <col min="12" max="12" width="10.875" style="123" customWidth="1"/>
    <col min="13" max="13" width="11.625" style="123" customWidth="1"/>
    <col min="14" max="14" width="8.875" style="123" hidden="1" customWidth="1"/>
    <col min="15" max="15" width="10.625" style="123" hidden="1" customWidth="1"/>
    <col min="16" max="16" width="8.875" style="123" hidden="1" customWidth="1"/>
    <col min="17" max="22" width="0" style="123" hidden="1" customWidth="1"/>
    <col min="23" max="23" width="12.5" style="123" hidden="1" customWidth="1"/>
    <col min="24" max="24" width="13.375" style="123" hidden="1" customWidth="1"/>
    <col min="25" max="25" width="14.125" style="123" hidden="1" customWidth="1"/>
    <col min="26" max="26" width="11.375" style="123" customWidth="1"/>
    <col min="27" max="27" width="10.5" style="123" customWidth="1"/>
    <col min="28" max="28" width="14.375" style="123" customWidth="1"/>
    <col min="29" max="29" width="12.875" style="123" customWidth="1"/>
    <col min="30" max="30" width="10" style="123" customWidth="1"/>
    <col min="31" max="31" width="9" style="123" customWidth="1"/>
    <col min="32" max="32" width="13.625" style="123" customWidth="1"/>
    <col min="33" max="141" width="8.5" style="123"/>
    <col min="142" max="142" width="4.125" style="123" customWidth="1"/>
    <col min="143" max="143" width="16.125" style="123" customWidth="1"/>
    <col min="144" max="144" width="14.375" style="123" customWidth="1"/>
    <col min="145" max="145" width="10.375" style="123" customWidth="1"/>
    <col min="146" max="146" width="10.625" style="123" customWidth="1"/>
    <col min="147" max="147" width="10.5" style="123" customWidth="1"/>
    <col min="148" max="148" width="11.625" style="123" customWidth="1"/>
    <col min="149" max="149" width="12.5" style="123" customWidth="1"/>
    <col min="150" max="150" width="12" style="123" customWidth="1"/>
    <col min="151" max="151" width="8.125" style="123" customWidth="1"/>
    <col min="152" max="152" width="12.125" style="123" customWidth="1"/>
    <col min="153" max="153" width="10.625" style="123" customWidth="1"/>
    <col min="154" max="154" width="12" style="123" customWidth="1"/>
    <col min="155" max="155" width="10.625" style="123" customWidth="1"/>
    <col min="156" max="156" width="11.875" style="123" customWidth="1"/>
    <col min="157" max="157" width="10.625" style="123" customWidth="1"/>
    <col min="158" max="163" width="14.375" style="123" customWidth="1"/>
    <col min="164" max="164" width="9.125" style="123" customWidth="1"/>
    <col min="165" max="165" width="14.625" style="123" customWidth="1"/>
    <col min="166" max="167" width="11.875" style="123" customWidth="1"/>
    <col min="168" max="168" width="13.5" style="123" customWidth="1"/>
    <col min="169" max="169" width="13.375" style="123" customWidth="1"/>
    <col min="170" max="170" width="14.5" style="123" customWidth="1"/>
    <col min="171" max="171" width="12.5" style="123" customWidth="1"/>
    <col min="172" max="172" width="12" style="123" customWidth="1"/>
    <col min="173" max="173" width="11" style="123" customWidth="1"/>
    <col min="174" max="174" width="12.625" style="123" customWidth="1"/>
    <col min="175" max="175" width="13.125" style="123" customWidth="1"/>
    <col min="176" max="176" width="11.375" style="123" customWidth="1"/>
    <col min="177" max="177" width="13.375" style="123" customWidth="1"/>
    <col min="178" max="178" width="15.375" style="123" customWidth="1"/>
    <col min="179" max="179" width="14.5" style="123" customWidth="1"/>
    <col min="180" max="180" width="13.125" style="123" customWidth="1"/>
    <col min="181" max="181" width="13" style="123" customWidth="1"/>
    <col min="182" max="182" width="12.625" style="123" customWidth="1"/>
    <col min="183" max="184" width="10.625" style="123" customWidth="1"/>
    <col min="185" max="185" width="11.375" style="123" customWidth="1"/>
    <col min="186" max="186" width="13.5" style="123" customWidth="1"/>
    <col min="187" max="397" width="8.5" style="123"/>
    <col min="398" max="398" width="4.125" style="123" customWidth="1"/>
    <col min="399" max="399" width="16.125" style="123" customWidth="1"/>
    <col min="400" max="400" width="14.375" style="123" customWidth="1"/>
    <col min="401" max="401" width="10.375" style="123" customWidth="1"/>
    <col min="402" max="402" width="10.625" style="123" customWidth="1"/>
    <col min="403" max="403" width="10.5" style="123" customWidth="1"/>
    <col min="404" max="404" width="11.625" style="123" customWidth="1"/>
    <col min="405" max="405" width="12.5" style="123" customWidth="1"/>
    <col min="406" max="406" width="12" style="123" customWidth="1"/>
    <col min="407" max="407" width="8.125" style="123" customWidth="1"/>
    <col min="408" max="408" width="12.125" style="123" customWidth="1"/>
    <col min="409" max="409" width="10.625" style="123" customWidth="1"/>
    <col min="410" max="410" width="12" style="123" customWidth="1"/>
    <col min="411" max="411" width="10.625" style="123" customWidth="1"/>
    <col min="412" max="412" width="11.875" style="123" customWidth="1"/>
    <col min="413" max="413" width="10.625" style="123" customWidth="1"/>
    <col min="414" max="419" width="14.375" style="123" customWidth="1"/>
    <col min="420" max="420" width="9.125" style="123" customWidth="1"/>
    <col min="421" max="421" width="14.625" style="123" customWidth="1"/>
    <col min="422" max="423" width="11.875" style="123" customWidth="1"/>
    <col min="424" max="424" width="13.5" style="123" customWidth="1"/>
    <col min="425" max="425" width="13.375" style="123" customWidth="1"/>
    <col min="426" max="426" width="14.5" style="123" customWidth="1"/>
    <col min="427" max="427" width="12.5" style="123" customWidth="1"/>
    <col min="428" max="428" width="12" style="123" customWidth="1"/>
    <col min="429" max="429" width="11" style="123" customWidth="1"/>
    <col min="430" max="430" width="12.625" style="123" customWidth="1"/>
    <col min="431" max="431" width="13.125" style="123" customWidth="1"/>
    <col min="432" max="432" width="11.375" style="123" customWidth="1"/>
    <col min="433" max="433" width="13.375" style="123" customWidth="1"/>
    <col min="434" max="434" width="15.375" style="123" customWidth="1"/>
    <col min="435" max="435" width="14.5" style="123" customWidth="1"/>
    <col min="436" max="436" width="13.125" style="123" customWidth="1"/>
    <col min="437" max="437" width="13" style="123" customWidth="1"/>
    <col min="438" max="438" width="12.625" style="123" customWidth="1"/>
    <col min="439" max="440" width="10.625" style="123" customWidth="1"/>
    <col min="441" max="441" width="11.375" style="123" customWidth="1"/>
    <col min="442" max="442" width="13.5" style="123" customWidth="1"/>
    <col min="443" max="653" width="8.5" style="123"/>
    <col min="654" max="654" width="4.125" style="123" customWidth="1"/>
    <col min="655" max="655" width="16.125" style="123" customWidth="1"/>
    <col min="656" max="656" width="14.375" style="123" customWidth="1"/>
    <col min="657" max="657" width="10.375" style="123" customWidth="1"/>
    <col min="658" max="658" width="10.625" style="123" customWidth="1"/>
    <col min="659" max="659" width="10.5" style="123" customWidth="1"/>
    <col min="660" max="660" width="11.625" style="123" customWidth="1"/>
    <col min="661" max="661" width="12.5" style="123" customWidth="1"/>
    <col min="662" max="662" width="12" style="123" customWidth="1"/>
    <col min="663" max="663" width="8.125" style="123" customWidth="1"/>
    <col min="664" max="664" width="12.125" style="123" customWidth="1"/>
    <col min="665" max="665" width="10.625" style="123" customWidth="1"/>
    <col min="666" max="666" width="12" style="123" customWidth="1"/>
    <col min="667" max="667" width="10.625" style="123" customWidth="1"/>
    <col min="668" max="668" width="11.875" style="123" customWidth="1"/>
    <col min="669" max="669" width="10.625" style="123" customWidth="1"/>
    <col min="670" max="675" width="14.375" style="123" customWidth="1"/>
    <col min="676" max="676" width="9.125" style="123" customWidth="1"/>
    <col min="677" max="677" width="14.625" style="123" customWidth="1"/>
    <col min="678" max="679" width="11.875" style="123" customWidth="1"/>
    <col min="680" max="680" width="13.5" style="123" customWidth="1"/>
    <col min="681" max="681" width="13.375" style="123" customWidth="1"/>
    <col min="682" max="682" width="14.5" style="123" customWidth="1"/>
    <col min="683" max="683" width="12.5" style="123" customWidth="1"/>
    <col min="684" max="684" width="12" style="123" customWidth="1"/>
    <col min="685" max="685" width="11" style="123" customWidth="1"/>
    <col min="686" max="686" width="12.625" style="123" customWidth="1"/>
    <col min="687" max="687" width="13.125" style="123" customWidth="1"/>
    <col min="688" max="688" width="11.375" style="123" customWidth="1"/>
    <col min="689" max="689" width="13.375" style="123" customWidth="1"/>
    <col min="690" max="690" width="15.375" style="123" customWidth="1"/>
    <col min="691" max="691" width="14.5" style="123" customWidth="1"/>
    <col min="692" max="692" width="13.125" style="123" customWidth="1"/>
    <col min="693" max="693" width="13" style="123" customWidth="1"/>
    <col min="694" max="694" width="12.625" style="123" customWidth="1"/>
    <col min="695" max="696" width="10.625" style="123" customWidth="1"/>
    <col min="697" max="697" width="11.375" style="123" customWidth="1"/>
    <col min="698" max="698" width="13.5" style="123" customWidth="1"/>
    <col min="699" max="909" width="8.5" style="123"/>
    <col min="910" max="910" width="4.125" style="123" customWidth="1"/>
    <col min="911" max="911" width="16.125" style="123" customWidth="1"/>
    <col min="912" max="912" width="14.375" style="123" customWidth="1"/>
    <col min="913" max="913" width="10.375" style="123" customWidth="1"/>
    <col min="914" max="914" width="10.625" style="123" customWidth="1"/>
    <col min="915" max="915" width="10.5" style="123" customWidth="1"/>
    <col min="916" max="916" width="11.625" style="123" customWidth="1"/>
    <col min="917" max="917" width="12.5" style="123" customWidth="1"/>
    <col min="918" max="918" width="12" style="123" customWidth="1"/>
    <col min="919" max="919" width="8.125" style="123" customWidth="1"/>
    <col min="920" max="920" width="12.125" style="123" customWidth="1"/>
    <col min="921" max="921" width="10.625" style="123" customWidth="1"/>
    <col min="922" max="922" width="12" style="123" customWidth="1"/>
    <col min="923" max="923" width="10.625" style="123" customWidth="1"/>
    <col min="924" max="924" width="11.875" style="123" customWidth="1"/>
    <col min="925" max="925" width="10.625" style="123" customWidth="1"/>
    <col min="926" max="931" width="14.375" style="123" customWidth="1"/>
    <col min="932" max="932" width="9.125" style="123" customWidth="1"/>
    <col min="933" max="933" width="14.625" style="123" customWidth="1"/>
    <col min="934" max="935" width="11.875" style="123" customWidth="1"/>
    <col min="936" max="936" width="13.5" style="123" customWidth="1"/>
    <col min="937" max="937" width="13.375" style="123" customWidth="1"/>
    <col min="938" max="938" width="14.5" style="123" customWidth="1"/>
    <col min="939" max="939" width="12.5" style="123" customWidth="1"/>
    <col min="940" max="940" width="12" style="123" customWidth="1"/>
    <col min="941" max="941" width="11" style="123" customWidth="1"/>
    <col min="942" max="942" width="12.625" style="123" customWidth="1"/>
    <col min="943" max="943" width="13.125" style="123" customWidth="1"/>
    <col min="944" max="944" width="11.375" style="123" customWidth="1"/>
    <col min="945" max="945" width="13.375" style="123" customWidth="1"/>
    <col min="946" max="946" width="15.375" style="123" customWidth="1"/>
    <col min="947" max="947" width="14.5" style="123" customWidth="1"/>
    <col min="948" max="948" width="13.125" style="123" customWidth="1"/>
    <col min="949" max="949" width="13" style="123" customWidth="1"/>
    <col min="950" max="950" width="12.625" style="123" customWidth="1"/>
    <col min="951" max="952" width="10.625" style="123" customWidth="1"/>
    <col min="953" max="953" width="11.375" style="123" customWidth="1"/>
    <col min="954" max="954" width="13.5" style="123" customWidth="1"/>
    <col min="955" max="1165" width="8.5" style="123"/>
    <col min="1166" max="1166" width="4.125" style="123" customWidth="1"/>
    <col min="1167" max="1167" width="16.125" style="123" customWidth="1"/>
    <col min="1168" max="1168" width="14.375" style="123" customWidth="1"/>
    <col min="1169" max="1169" width="10.375" style="123" customWidth="1"/>
    <col min="1170" max="1170" width="10.625" style="123" customWidth="1"/>
    <col min="1171" max="1171" width="10.5" style="123" customWidth="1"/>
    <col min="1172" max="1172" width="11.625" style="123" customWidth="1"/>
    <col min="1173" max="1173" width="12.5" style="123" customWidth="1"/>
    <col min="1174" max="1174" width="12" style="123" customWidth="1"/>
    <col min="1175" max="1175" width="8.125" style="123" customWidth="1"/>
    <col min="1176" max="1176" width="12.125" style="123" customWidth="1"/>
    <col min="1177" max="1177" width="10.625" style="123" customWidth="1"/>
    <col min="1178" max="1178" width="12" style="123" customWidth="1"/>
    <col min="1179" max="1179" width="10.625" style="123" customWidth="1"/>
    <col min="1180" max="1180" width="11.875" style="123" customWidth="1"/>
    <col min="1181" max="1181" width="10.625" style="123" customWidth="1"/>
    <col min="1182" max="1187" width="14.375" style="123" customWidth="1"/>
    <col min="1188" max="1188" width="9.125" style="123" customWidth="1"/>
    <col min="1189" max="1189" width="14.625" style="123" customWidth="1"/>
    <col min="1190" max="1191" width="11.875" style="123" customWidth="1"/>
    <col min="1192" max="1192" width="13.5" style="123" customWidth="1"/>
    <col min="1193" max="1193" width="13.375" style="123" customWidth="1"/>
    <col min="1194" max="1194" width="14.5" style="123" customWidth="1"/>
    <col min="1195" max="1195" width="12.5" style="123" customWidth="1"/>
    <col min="1196" max="1196" width="12" style="123" customWidth="1"/>
    <col min="1197" max="1197" width="11" style="123" customWidth="1"/>
    <col min="1198" max="1198" width="12.625" style="123" customWidth="1"/>
    <col min="1199" max="1199" width="13.125" style="123" customWidth="1"/>
    <col min="1200" max="1200" width="11.375" style="123" customWidth="1"/>
    <col min="1201" max="1201" width="13.375" style="123" customWidth="1"/>
    <col min="1202" max="1202" width="15.375" style="123" customWidth="1"/>
    <col min="1203" max="1203" width="14.5" style="123" customWidth="1"/>
    <col min="1204" max="1204" width="13.125" style="123" customWidth="1"/>
    <col min="1205" max="1205" width="13" style="123" customWidth="1"/>
    <col min="1206" max="1206" width="12.625" style="123" customWidth="1"/>
    <col min="1207" max="1208" width="10.625" style="123" customWidth="1"/>
    <col min="1209" max="1209" width="11.375" style="123" customWidth="1"/>
    <col min="1210" max="1210" width="13.5" style="123" customWidth="1"/>
    <col min="1211" max="1421" width="8.5" style="123"/>
    <col min="1422" max="1422" width="4.125" style="123" customWidth="1"/>
    <col min="1423" max="1423" width="16.125" style="123" customWidth="1"/>
    <col min="1424" max="1424" width="14.375" style="123" customWidth="1"/>
    <col min="1425" max="1425" width="10.375" style="123" customWidth="1"/>
    <col min="1426" max="1426" width="10.625" style="123" customWidth="1"/>
    <col min="1427" max="1427" width="10.5" style="123" customWidth="1"/>
    <col min="1428" max="1428" width="11.625" style="123" customWidth="1"/>
    <col min="1429" max="1429" width="12.5" style="123" customWidth="1"/>
    <col min="1430" max="1430" width="12" style="123" customWidth="1"/>
    <col min="1431" max="1431" width="8.125" style="123" customWidth="1"/>
    <col min="1432" max="1432" width="12.125" style="123" customWidth="1"/>
    <col min="1433" max="1433" width="10.625" style="123" customWidth="1"/>
    <col min="1434" max="1434" width="12" style="123" customWidth="1"/>
    <col min="1435" max="1435" width="10.625" style="123" customWidth="1"/>
    <col min="1436" max="1436" width="11.875" style="123" customWidth="1"/>
    <col min="1437" max="1437" width="10.625" style="123" customWidth="1"/>
    <col min="1438" max="1443" width="14.375" style="123" customWidth="1"/>
    <col min="1444" max="1444" width="9.125" style="123" customWidth="1"/>
    <col min="1445" max="1445" width="14.625" style="123" customWidth="1"/>
    <col min="1446" max="1447" width="11.875" style="123" customWidth="1"/>
    <col min="1448" max="1448" width="13.5" style="123" customWidth="1"/>
    <col min="1449" max="1449" width="13.375" style="123" customWidth="1"/>
    <col min="1450" max="1450" width="14.5" style="123" customWidth="1"/>
    <col min="1451" max="1451" width="12.5" style="123" customWidth="1"/>
    <col min="1452" max="1452" width="12" style="123" customWidth="1"/>
    <col min="1453" max="1453" width="11" style="123" customWidth="1"/>
    <col min="1454" max="1454" width="12.625" style="123" customWidth="1"/>
    <col min="1455" max="1455" width="13.125" style="123" customWidth="1"/>
    <col min="1456" max="1456" width="11.375" style="123" customWidth="1"/>
    <col min="1457" max="1457" width="13.375" style="123" customWidth="1"/>
    <col min="1458" max="1458" width="15.375" style="123" customWidth="1"/>
    <col min="1459" max="1459" width="14.5" style="123" customWidth="1"/>
    <col min="1460" max="1460" width="13.125" style="123" customWidth="1"/>
    <col min="1461" max="1461" width="13" style="123" customWidth="1"/>
    <col min="1462" max="1462" width="12.625" style="123" customWidth="1"/>
    <col min="1463" max="1464" width="10.625" style="123" customWidth="1"/>
    <col min="1465" max="1465" width="11.375" style="123" customWidth="1"/>
    <col min="1466" max="1466" width="13.5" style="123" customWidth="1"/>
    <col min="1467" max="1677" width="8.5" style="123"/>
    <col min="1678" max="1678" width="4.125" style="123" customWidth="1"/>
    <col min="1679" max="1679" width="16.125" style="123" customWidth="1"/>
    <col min="1680" max="1680" width="14.375" style="123" customWidth="1"/>
    <col min="1681" max="1681" width="10.375" style="123" customWidth="1"/>
    <col min="1682" max="1682" width="10.625" style="123" customWidth="1"/>
    <col min="1683" max="1683" width="10.5" style="123" customWidth="1"/>
    <col min="1684" max="1684" width="11.625" style="123" customWidth="1"/>
    <col min="1685" max="1685" width="12.5" style="123" customWidth="1"/>
    <col min="1686" max="1686" width="12" style="123" customWidth="1"/>
    <col min="1687" max="1687" width="8.125" style="123" customWidth="1"/>
    <col min="1688" max="1688" width="12.125" style="123" customWidth="1"/>
    <col min="1689" max="1689" width="10.625" style="123" customWidth="1"/>
    <col min="1690" max="1690" width="12" style="123" customWidth="1"/>
    <col min="1691" max="1691" width="10.625" style="123" customWidth="1"/>
    <col min="1692" max="1692" width="11.875" style="123" customWidth="1"/>
    <col min="1693" max="1693" width="10.625" style="123" customWidth="1"/>
    <col min="1694" max="1699" width="14.375" style="123" customWidth="1"/>
    <col min="1700" max="1700" width="9.125" style="123" customWidth="1"/>
    <col min="1701" max="1701" width="14.625" style="123" customWidth="1"/>
    <col min="1702" max="1703" width="11.875" style="123" customWidth="1"/>
    <col min="1704" max="1704" width="13.5" style="123" customWidth="1"/>
    <col min="1705" max="1705" width="13.375" style="123" customWidth="1"/>
    <col min="1706" max="1706" width="14.5" style="123" customWidth="1"/>
    <col min="1707" max="1707" width="12.5" style="123" customWidth="1"/>
    <col min="1708" max="1708" width="12" style="123" customWidth="1"/>
    <col min="1709" max="1709" width="11" style="123" customWidth="1"/>
    <col min="1710" max="1710" width="12.625" style="123" customWidth="1"/>
    <col min="1711" max="1711" width="13.125" style="123" customWidth="1"/>
    <col min="1712" max="1712" width="11.375" style="123" customWidth="1"/>
    <col min="1713" max="1713" width="13.375" style="123" customWidth="1"/>
    <col min="1714" max="1714" width="15.375" style="123" customWidth="1"/>
    <col min="1715" max="1715" width="14.5" style="123" customWidth="1"/>
    <col min="1716" max="1716" width="13.125" style="123" customWidth="1"/>
    <col min="1717" max="1717" width="13" style="123" customWidth="1"/>
    <col min="1718" max="1718" width="12.625" style="123" customWidth="1"/>
    <col min="1719" max="1720" width="10.625" style="123" customWidth="1"/>
    <col min="1721" max="1721" width="11.375" style="123" customWidth="1"/>
    <col min="1722" max="1722" width="13.5" style="123" customWidth="1"/>
    <col min="1723" max="1933" width="8.5" style="123"/>
    <col min="1934" max="1934" width="4.125" style="123" customWidth="1"/>
    <col min="1935" max="1935" width="16.125" style="123" customWidth="1"/>
    <col min="1936" max="1936" width="14.375" style="123" customWidth="1"/>
    <col min="1937" max="1937" width="10.375" style="123" customWidth="1"/>
    <col min="1938" max="1938" width="10.625" style="123" customWidth="1"/>
    <col min="1939" max="1939" width="10.5" style="123" customWidth="1"/>
    <col min="1940" max="1940" width="11.625" style="123" customWidth="1"/>
    <col min="1941" max="1941" width="12.5" style="123" customWidth="1"/>
    <col min="1942" max="1942" width="12" style="123" customWidth="1"/>
    <col min="1943" max="1943" width="8.125" style="123" customWidth="1"/>
    <col min="1944" max="1944" width="12.125" style="123" customWidth="1"/>
    <col min="1945" max="1945" width="10.625" style="123" customWidth="1"/>
    <col min="1946" max="1946" width="12" style="123" customWidth="1"/>
    <col min="1947" max="1947" width="10.625" style="123" customWidth="1"/>
    <col min="1948" max="1948" width="11.875" style="123" customWidth="1"/>
    <col min="1949" max="1949" width="10.625" style="123" customWidth="1"/>
    <col min="1950" max="1955" width="14.375" style="123" customWidth="1"/>
    <col min="1956" max="1956" width="9.125" style="123" customWidth="1"/>
    <col min="1957" max="1957" width="14.625" style="123" customWidth="1"/>
    <col min="1958" max="1959" width="11.875" style="123" customWidth="1"/>
    <col min="1960" max="1960" width="13.5" style="123" customWidth="1"/>
    <col min="1961" max="1961" width="13.375" style="123" customWidth="1"/>
    <col min="1962" max="1962" width="14.5" style="123" customWidth="1"/>
    <col min="1963" max="1963" width="12.5" style="123" customWidth="1"/>
    <col min="1964" max="1964" width="12" style="123" customWidth="1"/>
    <col min="1965" max="1965" width="11" style="123" customWidth="1"/>
    <col min="1966" max="1966" width="12.625" style="123" customWidth="1"/>
    <col min="1967" max="1967" width="13.125" style="123" customWidth="1"/>
    <col min="1968" max="1968" width="11.375" style="123" customWidth="1"/>
    <col min="1969" max="1969" width="13.375" style="123" customWidth="1"/>
    <col min="1970" max="1970" width="15.375" style="123" customWidth="1"/>
    <col min="1971" max="1971" width="14.5" style="123" customWidth="1"/>
    <col min="1972" max="1972" width="13.125" style="123" customWidth="1"/>
    <col min="1973" max="1973" width="13" style="123" customWidth="1"/>
    <col min="1974" max="1974" width="12.625" style="123" customWidth="1"/>
    <col min="1975" max="1976" width="10.625" style="123" customWidth="1"/>
    <col min="1977" max="1977" width="11.375" style="123" customWidth="1"/>
    <col min="1978" max="1978" width="13.5" style="123" customWidth="1"/>
    <col min="1979" max="2189" width="8.5" style="123"/>
    <col min="2190" max="2190" width="4.125" style="123" customWidth="1"/>
    <col min="2191" max="2191" width="16.125" style="123" customWidth="1"/>
    <col min="2192" max="2192" width="14.375" style="123" customWidth="1"/>
    <col min="2193" max="2193" width="10.375" style="123" customWidth="1"/>
    <col min="2194" max="2194" width="10.625" style="123" customWidth="1"/>
    <col min="2195" max="2195" width="10.5" style="123" customWidth="1"/>
    <col min="2196" max="2196" width="11.625" style="123" customWidth="1"/>
    <col min="2197" max="2197" width="12.5" style="123" customWidth="1"/>
    <col min="2198" max="2198" width="12" style="123" customWidth="1"/>
    <col min="2199" max="2199" width="8.125" style="123" customWidth="1"/>
    <col min="2200" max="2200" width="12.125" style="123" customWidth="1"/>
    <col min="2201" max="2201" width="10.625" style="123" customWidth="1"/>
    <col min="2202" max="2202" width="12" style="123" customWidth="1"/>
    <col min="2203" max="2203" width="10.625" style="123" customWidth="1"/>
    <col min="2204" max="2204" width="11.875" style="123" customWidth="1"/>
    <col min="2205" max="2205" width="10.625" style="123" customWidth="1"/>
    <col min="2206" max="2211" width="14.375" style="123" customWidth="1"/>
    <col min="2212" max="2212" width="9.125" style="123" customWidth="1"/>
    <col min="2213" max="2213" width="14.625" style="123" customWidth="1"/>
    <col min="2214" max="2215" width="11.875" style="123" customWidth="1"/>
    <col min="2216" max="2216" width="13.5" style="123" customWidth="1"/>
    <col min="2217" max="2217" width="13.375" style="123" customWidth="1"/>
    <col min="2218" max="2218" width="14.5" style="123" customWidth="1"/>
    <col min="2219" max="2219" width="12.5" style="123" customWidth="1"/>
    <col min="2220" max="2220" width="12" style="123" customWidth="1"/>
    <col min="2221" max="2221" width="11" style="123" customWidth="1"/>
    <col min="2222" max="2222" width="12.625" style="123" customWidth="1"/>
    <col min="2223" max="2223" width="13.125" style="123" customWidth="1"/>
    <col min="2224" max="2224" width="11.375" style="123" customWidth="1"/>
    <col min="2225" max="2225" width="13.375" style="123" customWidth="1"/>
    <col min="2226" max="2226" width="15.375" style="123" customWidth="1"/>
    <col min="2227" max="2227" width="14.5" style="123" customWidth="1"/>
    <col min="2228" max="2228" width="13.125" style="123" customWidth="1"/>
    <col min="2229" max="2229" width="13" style="123" customWidth="1"/>
    <col min="2230" max="2230" width="12.625" style="123" customWidth="1"/>
    <col min="2231" max="2232" width="10.625" style="123" customWidth="1"/>
    <col min="2233" max="2233" width="11.375" style="123" customWidth="1"/>
    <col min="2234" max="2234" width="13.5" style="123" customWidth="1"/>
    <col min="2235" max="2445" width="8.5" style="123"/>
    <col min="2446" max="2446" width="4.125" style="123" customWidth="1"/>
    <col min="2447" max="2447" width="16.125" style="123" customWidth="1"/>
    <col min="2448" max="2448" width="14.375" style="123" customWidth="1"/>
    <col min="2449" max="2449" width="10.375" style="123" customWidth="1"/>
    <col min="2450" max="2450" width="10.625" style="123" customWidth="1"/>
    <col min="2451" max="2451" width="10.5" style="123" customWidth="1"/>
    <col min="2452" max="2452" width="11.625" style="123" customWidth="1"/>
    <col min="2453" max="2453" width="12.5" style="123" customWidth="1"/>
    <col min="2454" max="2454" width="12" style="123" customWidth="1"/>
    <col min="2455" max="2455" width="8.125" style="123" customWidth="1"/>
    <col min="2456" max="2456" width="12.125" style="123" customWidth="1"/>
    <col min="2457" max="2457" width="10.625" style="123" customWidth="1"/>
    <col min="2458" max="2458" width="12" style="123" customWidth="1"/>
    <col min="2459" max="2459" width="10.625" style="123" customWidth="1"/>
    <col min="2460" max="2460" width="11.875" style="123" customWidth="1"/>
    <col min="2461" max="2461" width="10.625" style="123" customWidth="1"/>
    <col min="2462" max="2467" width="14.375" style="123" customWidth="1"/>
    <col min="2468" max="2468" width="9.125" style="123" customWidth="1"/>
    <col min="2469" max="2469" width="14.625" style="123" customWidth="1"/>
    <col min="2470" max="2471" width="11.875" style="123" customWidth="1"/>
    <col min="2472" max="2472" width="13.5" style="123" customWidth="1"/>
    <col min="2473" max="2473" width="13.375" style="123" customWidth="1"/>
    <col min="2474" max="2474" width="14.5" style="123" customWidth="1"/>
    <col min="2475" max="2475" width="12.5" style="123" customWidth="1"/>
    <col min="2476" max="2476" width="12" style="123" customWidth="1"/>
    <col min="2477" max="2477" width="11" style="123" customWidth="1"/>
    <col min="2478" max="2478" width="12.625" style="123" customWidth="1"/>
    <col min="2479" max="2479" width="13.125" style="123" customWidth="1"/>
    <col min="2480" max="2480" width="11.375" style="123" customWidth="1"/>
    <col min="2481" max="2481" width="13.375" style="123" customWidth="1"/>
    <col min="2482" max="2482" width="15.375" style="123" customWidth="1"/>
    <col min="2483" max="2483" width="14.5" style="123" customWidth="1"/>
    <col min="2484" max="2484" width="13.125" style="123" customWidth="1"/>
    <col min="2485" max="2485" width="13" style="123" customWidth="1"/>
    <col min="2486" max="2486" width="12.625" style="123" customWidth="1"/>
    <col min="2487" max="2488" width="10.625" style="123" customWidth="1"/>
    <col min="2489" max="2489" width="11.375" style="123" customWidth="1"/>
    <col min="2490" max="2490" width="13.5" style="123" customWidth="1"/>
    <col min="2491" max="2701" width="8.5" style="123"/>
    <col min="2702" max="2702" width="4.125" style="123" customWidth="1"/>
    <col min="2703" max="2703" width="16.125" style="123" customWidth="1"/>
    <col min="2704" max="2704" width="14.375" style="123" customWidth="1"/>
    <col min="2705" max="2705" width="10.375" style="123" customWidth="1"/>
    <col min="2706" max="2706" width="10.625" style="123" customWidth="1"/>
    <col min="2707" max="2707" width="10.5" style="123" customWidth="1"/>
    <col min="2708" max="2708" width="11.625" style="123" customWidth="1"/>
    <col min="2709" max="2709" width="12.5" style="123" customWidth="1"/>
    <col min="2710" max="2710" width="12" style="123" customWidth="1"/>
    <col min="2711" max="2711" width="8.125" style="123" customWidth="1"/>
    <col min="2712" max="2712" width="12.125" style="123" customWidth="1"/>
    <col min="2713" max="2713" width="10.625" style="123" customWidth="1"/>
    <col min="2714" max="2714" width="12" style="123" customWidth="1"/>
    <col min="2715" max="2715" width="10.625" style="123" customWidth="1"/>
    <col min="2716" max="2716" width="11.875" style="123" customWidth="1"/>
    <col min="2717" max="2717" width="10.625" style="123" customWidth="1"/>
    <col min="2718" max="2723" width="14.375" style="123" customWidth="1"/>
    <col min="2724" max="2724" width="9.125" style="123" customWidth="1"/>
    <col min="2725" max="2725" width="14.625" style="123" customWidth="1"/>
    <col min="2726" max="2727" width="11.875" style="123" customWidth="1"/>
    <col min="2728" max="2728" width="13.5" style="123" customWidth="1"/>
    <col min="2729" max="2729" width="13.375" style="123" customWidth="1"/>
    <col min="2730" max="2730" width="14.5" style="123" customWidth="1"/>
    <col min="2731" max="2731" width="12.5" style="123" customWidth="1"/>
    <col min="2732" max="2732" width="12" style="123" customWidth="1"/>
    <col min="2733" max="2733" width="11" style="123" customWidth="1"/>
    <col min="2734" max="2734" width="12.625" style="123" customWidth="1"/>
    <col min="2735" max="2735" width="13.125" style="123" customWidth="1"/>
    <col min="2736" max="2736" width="11.375" style="123" customWidth="1"/>
    <col min="2737" max="2737" width="13.375" style="123" customWidth="1"/>
    <col min="2738" max="2738" width="15.375" style="123" customWidth="1"/>
    <col min="2739" max="2739" width="14.5" style="123" customWidth="1"/>
    <col min="2740" max="2740" width="13.125" style="123" customWidth="1"/>
    <col min="2741" max="2741" width="13" style="123" customWidth="1"/>
    <col min="2742" max="2742" width="12.625" style="123" customWidth="1"/>
    <col min="2743" max="2744" width="10.625" style="123" customWidth="1"/>
    <col min="2745" max="2745" width="11.375" style="123" customWidth="1"/>
    <col min="2746" max="2746" width="13.5" style="123" customWidth="1"/>
    <col min="2747" max="2957" width="8.5" style="123"/>
    <col min="2958" max="2958" width="4.125" style="123" customWidth="1"/>
    <col min="2959" max="2959" width="16.125" style="123" customWidth="1"/>
    <col min="2960" max="2960" width="14.375" style="123" customWidth="1"/>
    <col min="2961" max="2961" width="10.375" style="123" customWidth="1"/>
    <col min="2962" max="2962" width="10.625" style="123" customWidth="1"/>
    <col min="2963" max="2963" width="10.5" style="123" customWidth="1"/>
    <col min="2964" max="2964" width="11.625" style="123" customWidth="1"/>
    <col min="2965" max="2965" width="12.5" style="123" customWidth="1"/>
    <col min="2966" max="2966" width="12" style="123" customWidth="1"/>
    <col min="2967" max="2967" width="8.125" style="123" customWidth="1"/>
    <col min="2968" max="2968" width="12.125" style="123" customWidth="1"/>
    <col min="2969" max="2969" width="10.625" style="123" customWidth="1"/>
    <col min="2970" max="2970" width="12" style="123" customWidth="1"/>
    <col min="2971" max="2971" width="10.625" style="123" customWidth="1"/>
    <col min="2972" max="2972" width="11.875" style="123" customWidth="1"/>
    <col min="2973" max="2973" width="10.625" style="123" customWidth="1"/>
    <col min="2974" max="2979" width="14.375" style="123" customWidth="1"/>
    <col min="2980" max="2980" width="9.125" style="123" customWidth="1"/>
    <col min="2981" max="2981" width="14.625" style="123" customWidth="1"/>
    <col min="2982" max="2983" width="11.875" style="123" customWidth="1"/>
    <col min="2984" max="2984" width="13.5" style="123" customWidth="1"/>
    <col min="2985" max="2985" width="13.375" style="123" customWidth="1"/>
    <col min="2986" max="2986" width="14.5" style="123" customWidth="1"/>
    <col min="2987" max="2987" width="12.5" style="123" customWidth="1"/>
    <col min="2988" max="2988" width="12" style="123" customWidth="1"/>
    <col min="2989" max="2989" width="11" style="123" customWidth="1"/>
    <col min="2990" max="2990" width="12.625" style="123" customWidth="1"/>
    <col min="2991" max="2991" width="13.125" style="123" customWidth="1"/>
    <col min="2992" max="2992" width="11.375" style="123" customWidth="1"/>
    <col min="2993" max="2993" width="13.375" style="123" customWidth="1"/>
    <col min="2994" max="2994" width="15.375" style="123" customWidth="1"/>
    <col min="2995" max="2995" width="14.5" style="123" customWidth="1"/>
    <col min="2996" max="2996" width="13.125" style="123" customWidth="1"/>
    <col min="2997" max="2997" width="13" style="123" customWidth="1"/>
    <col min="2998" max="2998" width="12.625" style="123" customWidth="1"/>
    <col min="2999" max="3000" width="10.625" style="123" customWidth="1"/>
    <col min="3001" max="3001" width="11.375" style="123" customWidth="1"/>
    <col min="3002" max="3002" width="13.5" style="123" customWidth="1"/>
    <col min="3003" max="3213" width="8.5" style="123"/>
    <col min="3214" max="3214" width="4.125" style="123" customWidth="1"/>
    <col min="3215" max="3215" width="16.125" style="123" customWidth="1"/>
    <col min="3216" max="3216" width="14.375" style="123" customWidth="1"/>
    <col min="3217" max="3217" width="10.375" style="123" customWidth="1"/>
    <col min="3218" max="3218" width="10.625" style="123" customWidth="1"/>
    <col min="3219" max="3219" width="10.5" style="123" customWidth="1"/>
    <col min="3220" max="3220" width="11.625" style="123" customWidth="1"/>
    <col min="3221" max="3221" width="12.5" style="123" customWidth="1"/>
    <col min="3222" max="3222" width="12" style="123" customWidth="1"/>
    <col min="3223" max="3223" width="8.125" style="123" customWidth="1"/>
    <col min="3224" max="3224" width="12.125" style="123" customWidth="1"/>
    <col min="3225" max="3225" width="10.625" style="123" customWidth="1"/>
    <col min="3226" max="3226" width="12" style="123" customWidth="1"/>
    <col min="3227" max="3227" width="10.625" style="123" customWidth="1"/>
    <col min="3228" max="3228" width="11.875" style="123" customWidth="1"/>
    <col min="3229" max="3229" width="10.625" style="123" customWidth="1"/>
    <col min="3230" max="3235" width="14.375" style="123" customWidth="1"/>
    <col min="3236" max="3236" width="9.125" style="123" customWidth="1"/>
    <col min="3237" max="3237" width="14.625" style="123" customWidth="1"/>
    <col min="3238" max="3239" width="11.875" style="123" customWidth="1"/>
    <col min="3240" max="3240" width="13.5" style="123" customWidth="1"/>
    <col min="3241" max="3241" width="13.375" style="123" customWidth="1"/>
    <col min="3242" max="3242" width="14.5" style="123" customWidth="1"/>
    <col min="3243" max="3243" width="12.5" style="123" customWidth="1"/>
    <col min="3244" max="3244" width="12" style="123" customWidth="1"/>
    <col min="3245" max="3245" width="11" style="123" customWidth="1"/>
    <col min="3246" max="3246" width="12.625" style="123" customWidth="1"/>
    <col min="3247" max="3247" width="13.125" style="123" customWidth="1"/>
    <col min="3248" max="3248" width="11.375" style="123" customWidth="1"/>
    <col min="3249" max="3249" width="13.375" style="123" customWidth="1"/>
    <col min="3250" max="3250" width="15.375" style="123" customWidth="1"/>
    <col min="3251" max="3251" width="14.5" style="123" customWidth="1"/>
    <col min="3252" max="3252" width="13.125" style="123" customWidth="1"/>
    <col min="3253" max="3253" width="13" style="123" customWidth="1"/>
    <col min="3254" max="3254" width="12.625" style="123" customWidth="1"/>
    <col min="3255" max="3256" width="10.625" style="123" customWidth="1"/>
    <col min="3257" max="3257" width="11.375" style="123" customWidth="1"/>
    <col min="3258" max="3258" width="13.5" style="123" customWidth="1"/>
    <col min="3259" max="3469" width="8.5" style="123"/>
    <col min="3470" max="3470" width="4.125" style="123" customWidth="1"/>
    <col min="3471" max="3471" width="16.125" style="123" customWidth="1"/>
    <col min="3472" max="3472" width="14.375" style="123" customWidth="1"/>
    <col min="3473" max="3473" width="10.375" style="123" customWidth="1"/>
    <col min="3474" max="3474" width="10.625" style="123" customWidth="1"/>
    <col min="3475" max="3475" width="10.5" style="123" customWidth="1"/>
    <col min="3476" max="3476" width="11.625" style="123" customWidth="1"/>
    <col min="3477" max="3477" width="12.5" style="123" customWidth="1"/>
    <col min="3478" max="3478" width="12" style="123" customWidth="1"/>
    <col min="3479" max="3479" width="8.125" style="123" customWidth="1"/>
    <col min="3480" max="3480" width="12.125" style="123" customWidth="1"/>
    <col min="3481" max="3481" width="10.625" style="123" customWidth="1"/>
    <col min="3482" max="3482" width="12" style="123" customWidth="1"/>
    <col min="3483" max="3483" width="10.625" style="123" customWidth="1"/>
    <col min="3484" max="3484" width="11.875" style="123" customWidth="1"/>
    <col min="3485" max="3485" width="10.625" style="123" customWidth="1"/>
    <col min="3486" max="3491" width="14.375" style="123" customWidth="1"/>
    <col min="3492" max="3492" width="9.125" style="123" customWidth="1"/>
    <col min="3493" max="3493" width="14.625" style="123" customWidth="1"/>
    <col min="3494" max="3495" width="11.875" style="123" customWidth="1"/>
    <col min="3496" max="3496" width="13.5" style="123" customWidth="1"/>
    <col min="3497" max="3497" width="13.375" style="123" customWidth="1"/>
    <col min="3498" max="3498" width="14.5" style="123" customWidth="1"/>
    <col min="3499" max="3499" width="12.5" style="123" customWidth="1"/>
    <col min="3500" max="3500" width="12" style="123" customWidth="1"/>
    <col min="3501" max="3501" width="11" style="123" customWidth="1"/>
    <col min="3502" max="3502" width="12.625" style="123" customWidth="1"/>
    <col min="3503" max="3503" width="13.125" style="123" customWidth="1"/>
    <col min="3504" max="3504" width="11.375" style="123" customWidth="1"/>
    <col min="3505" max="3505" width="13.375" style="123" customWidth="1"/>
    <col min="3506" max="3506" width="15.375" style="123" customWidth="1"/>
    <col min="3507" max="3507" width="14.5" style="123" customWidth="1"/>
    <col min="3508" max="3508" width="13.125" style="123" customWidth="1"/>
    <col min="3509" max="3509" width="13" style="123" customWidth="1"/>
    <col min="3510" max="3510" width="12.625" style="123" customWidth="1"/>
    <col min="3511" max="3512" width="10.625" style="123" customWidth="1"/>
    <col min="3513" max="3513" width="11.375" style="123" customWidth="1"/>
    <col min="3514" max="3514" width="13.5" style="123" customWidth="1"/>
    <col min="3515" max="3725" width="8.5" style="123"/>
    <col min="3726" max="3726" width="4.125" style="123" customWidth="1"/>
    <col min="3727" max="3727" width="16.125" style="123" customWidth="1"/>
    <col min="3728" max="3728" width="14.375" style="123" customWidth="1"/>
    <col min="3729" max="3729" width="10.375" style="123" customWidth="1"/>
    <col min="3730" max="3730" width="10.625" style="123" customWidth="1"/>
    <col min="3731" max="3731" width="10.5" style="123" customWidth="1"/>
    <col min="3732" max="3732" width="11.625" style="123" customWidth="1"/>
    <col min="3733" max="3733" width="12.5" style="123" customWidth="1"/>
    <col min="3734" max="3734" width="12" style="123" customWidth="1"/>
    <col min="3735" max="3735" width="8.125" style="123" customWidth="1"/>
    <col min="3736" max="3736" width="12.125" style="123" customWidth="1"/>
    <col min="3737" max="3737" width="10.625" style="123" customWidth="1"/>
    <col min="3738" max="3738" width="12" style="123" customWidth="1"/>
    <col min="3739" max="3739" width="10.625" style="123" customWidth="1"/>
    <col min="3740" max="3740" width="11.875" style="123" customWidth="1"/>
    <col min="3741" max="3741" width="10.625" style="123" customWidth="1"/>
    <col min="3742" max="3747" width="14.375" style="123" customWidth="1"/>
    <col min="3748" max="3748" width="9.125" style="123" customWidth="1"/>
    <col min="3749" max="3749" width="14.625" style="123" customWidth="1"/>
    <col min="3750" max="3751" width="11.875" style="123" customWidth="1"/>
    <col min="3752" max="3752" width="13.5" style="123" customWidth="1"/>
    <col min="3753" max="3753" width="13.375" style="123" customWidth="1"/>
    <col min="3754" max="3754" width="14.5" style="123" customWidth="1"/>
    <col min="3755" max="3755" width="12.5" style="123" customWidth="1"/>
    <col min="3756" max="3756" width="12" style="123" customWidth="1"/>
    <col min="3757" max="3757" width="11" style="123" customWidth="1"/>
    <col min="3758" max="3758" width="12.625" style="123" customWidth="1"/>
    <col min="3759" max="3759" width="13.125" style="123" customWidth="1"/>
    <col min="3760" max="3760" width="11.375" style="123" customWidth="1"/>
    <col min="3761" max="3761" width="13.375" style="123" customWidth="1"/>
    <col min="3762" max="3762" width="15.375" style="123" customWidth="1"/>
    <col min="3763" max="3763" width="14.5" style="123" customWidth="1"/>
    <col min="3764" max="3764" width="13.125" style="123" customWidth="1"/>
    <col min="3765" max="3765" width="13" style="123" customWidth="1"/>
    <col min="3766" max="3766" width="12.625" style="123" customWidth="1"/>
    <col min="3767" max="3768" width="10.625" style="123" customWidth="1"/>
    <col min="3769" max="3769" width="11.375" style="123" customWidth="1"/>
    <col min="3770" max="3770" width="13.5" style="123" customWidth="1"/>
    <col min="3771" max="3981" width="8.5" style="123"/>
    <col min="3982" max="3982" width="4.125" style="123" customWidth="1"/>
    <col min="3983" max="3983" width="16.125" style="123" customWidth="1"/>
    <col min="3984" max="3984" width="14.375" style="123" customWidth="1"/>
    <col min="3985" max="3985" width="10.375" style="123" customWidth="1"/>
    <col min="3986" max="3986" width="10.625" style="123" customWidth="1"/>
    <col min="3987" max="3987" width="10.5" style="123" customWidth="1"/>
    <col min="3988" max="3988" width="11.625" style="123" customWidth="1"/>
    <col min="3989" max="3989" width="12.5" style="123" customWidth="1"/>
    <col min="3990" max="3990" width="12" style="123" customWidth="1"/>
    <col min="3991" max="3991" width="8.125" style="123" customWidth="1"/>
    <col min="3992" max="3992" width="12.125" style="123" customWidth="1"/>
    <col min="3993" max="3993" width="10.625" style="123" customWidth="1"/>
    <col min="3994" max="3994" width="12" style="123" customWidth="1"/>
    <col min="3995" max="3995" width="10.625" style="123" customWidth="1"/>
    <col min="3996" max="3996" width="11.875" style="123" customWidth="1"/>
    <col min="3997" max="3997" width="10.625" style="123" customWidth="1"/>
    <col min="3998" max="4003" width="14.375" style="123" customWidth="1"/>
    <col min="4004" max="4004" width="9.125" style="123" customWidth="1"/>
    <col min="4005" max="4005" width="14.625" style="123" customWidth="1"/>
    <col min="4006" max="4007" width="11.875" style="123" customWidth="1"/>
    <col min="4008" max="4008" width="13.5" style="123" customWidth="1"/>
    <col min="4009" max="4009" width="13.375" style="123" customWidth="1"/>
    <col min="4010" max="4010" width="14.5" style="123" customWidth="1"/>
    <col min="4011" max="4011" width="12.5" style="123" customWidth="1"/>
    <col min="4012" max="4012" width="12" style="123" customWidth="1"/>
    <col min="4013" max="4013" width="11" style="123" customWidth="1"/>
    <col min="4014" max="4014" width="12.625" style="123" customWidth="1"/>
    <col min="4015" max="4015" width="13.125" style="123" customWidth="1"/>
    <col min="4016" max="4016" width="11.375" style="123" customWidth="1"/>
    <col min="4017" max="4017" width="13.375" style="123" customWidth="1"/>
    <col min="4018" max="4018" width="15.375" style="123" customWidth="1"/>
    <col min="4019" max="4019" width="14.5" style="123" customWidth="1"/>
    <col min="4020" max="4020" width="13.125" style="123" customWidth="1"/>
    <col min="4021" max="4021" width="13" style="123" customWidth="1"/>
    <col min="4022" max="4022" width="12.625" style="123" customWidth="1"/>
    <col min="4023" max="4024" width="10.625" style="123" customWidth="1"/>
    <col min="4025" max="4025" width="11.375" style="123" customWidth="1"/>
    <col min="4026" max="4026" width="13.5" style="123" customWidth="1"/>
    <col min="4027" max="4237" width="8.5" style="123"/>
    <col min="4238" max="4238" width="4.125" style="123" customWidth="1"/>
    <col min="4239" max="4239" width="16.125" style="123" customWidth="1"/>
    <col min="4240" max="4240" width="14.375" style="123" customWidth="1"/>
    <col min="4241" max="4241" width="10.375" style="123" customWidth="1"/>
    <col min="4242" max="4242" width="10.625" style="123" customWidth="1"/>
    <col min="4243" max="4243" width="10.5" style="123" customWidth="1"/>
    <col min="4244" max="4244" width="11.625" style="123" customWidth="1"/>
    <col min="4245" max="4245" width="12.5" style="123" customWidth="1"/>
    <col min="4246" max="4246" width="12" style="123" customWidth="1"/>
    <col min="4247" max="4247" width="8.125" style="123" customWidth="1"/>
    <col min="4248" max="4248" width="12.125" style="123" customWidth="1"/>
    <col min="4249" max="4249" width="10.625" style="123" customWidth="1"/>
    <col min="4250" max="4250" width="12" style="123" customWidth="1"/>
    <col min="4251" max="4251" width="10.625" style="123" customWidth="1"/>
    <col min="4252" max="4252" width="11.875" style="123" customWidth="1"/>
    <col min="4253" max="4253" width="10.625" style="123" customWidth="1"/>
    <col min="4254" max="4259" width="14.375" style="123" customWidth="1"/>
    <col min="4260" max="4260" width="9.125" style="123" customWidth="1"/>
    <col min="4261" max="4261" width="14.625" style="123" customWidth="1"/>
    <col min="4262" max="4263" width="11.875" style="123" customWidth="1"/>
    <col min="4264" max="4264" width="13.5" style="123" customWidth="1"/>
    <col min="4265" max="4265" width="13.375" style="123" customWidth="1"/>
    <col min="4266" max="4266" width="14.5" style="123" customWidth="1"/>
    <col min="4267" max="4267" width="12.5" style="123" customWidth="1"/>
    <col min="4268" max="4268" width="12" style="123" customWidth="1"/>
    <col min="4269" max="4269" width="11" style="123" customWidth="1"/>
    <col min="4270" max="4270" width="12.625" style="123" customWidth="1"/>
    <col min="4271" max="4271" width="13.125" style="123" customWidth="1"/>
    <col min="4272" max="4272" width="11.375" style="123" customWidth="1"/>
    <col min="4273" max="4273" width="13.375" style="123" customWidth="1"/>
    <col min="4274" max="4274" width="15.375" style="123" customWidth="1"/>
    <col min="4275" max="4275" width="14.5" style="123" customWidth="1"/>
    <col min="4276" max="4276" width="13.125" style="123" customWidth="1"/>
    <col min="4277" max="4277" width="13" style="123" customWidth="1"/>
    <col min="4278" max="4278" width="12.625" style="123" customWidth="1"/>
    <col min="4279" max="4280" width="10.625" style="123" customWidth="1"/>
    <col min="4281" max="4281" width="11.375" style="123" customWidth="1"/>
    <col min="4282" max="4282" width="13.5" style="123" customWidth="1"/>
    <col min="4283" max="4493" width="8.5" style="123"/>
    <col min="4494" max="4494" width="4.125" style="123" customWidth="1"/>
    <col min="4495" max="4495" width="16.125" style="123" customWidth="1"/>
    <col min="4496" max="4496" width="14.375" style="123" customWidth="1"/>
    <col min="4497" max="4497" width="10.375" style="123" customWidth="1"/>
    <col min="4498" max="4498" width="10.625" style="123" customWidth="1"/>
    <col min="4499" max="4499" width="10.5" style="123" customWidth="1"/>
    <col min="4500" max="4500" width="11.625" style="123" customWidth="1"/>
    <col min="4501" max="4501" width="12.5" style="123" customWidth="1"/>
    <col min="4502" max="4502" width="12" style="123" customWidth="1"/>
    <col min="4503" max="4503" width="8.125" style="123" customWidth="1"/>
    <col min="4504" max="4504" width="12.125" style="123" customWidth="1"/>
    <col min="4505" max="4505" width="10.625" style="123" customWidth="1"/>
    <col min="4506" max="4506" width="12" style="123" customWidth="1"/>
    <col min="4507" max="4507" width="10.625" style="123" customWidth="1"/>
    <col min="4508" max="4508" width="11.875" style="123" customWidth="1"/>
    <col min="4509" max="4509" width="10.625" style="123" customWidth="1"/>
    <col min="4510" max="4515" width="14.375" style="123" customWidth="1"/>
    <col min="4516" max="4516" width="9.125" style="123" customWidth="1"/>
    <col min="4517" max="4517" width="14.625" style="123" customWidth="1"/>
    <col min="4518" max="4519" width="11.875" style="123" customWidth="1"/>
    <col min="4520" max="4520" width="13.5" style="123" customWidth="1"/>
    <col min="4521" max="4521" width="13.375" style="123" customWidth="1"/>
    <col min="4522" max="4522" width="14.5" style="123" customWidth="1"/>
    <col min="4523" max="4523" width="12.5" style="123" customWidth="1"/>
    <col min="4524" max="4524" width="12" style="123" customWidth="1"/>
    <col min="4525" max="4525" width="11" style="123" customWidth="1"/>
    <col min="4526" max="4526" width="12.625" style="123" customWidth="1"/>
    <col min="4527" max="4527" width="13.125" style="123" customWidth="1"/>
    <col min="4528" max="4528" width="11.375" style="123" customWidth="1"/>
    <col min="4529" max="4529" width="13.375" style="123" customWidth="1"/>
    <col min="4530" max="4530" width="15.375" style="123" customWidth="1"/>
    <col min="4531" max="4531" width="14.5" style="123" customWidth="1"/>
    <col min="4532" max="4532" width="13.125" style="123" customWidth="1"/>
    <col min="4533" max="4533" width="13" style="123" customWidth="1"/>
    <col min="4534" max="4534" width="12.625" style="123" customWidth="1"/>
    <col min="4535" max="4536" width="10.625" style="123" customWidth="1"/>
    <col min="4537" max="4537" width="11.375" style="123" customWidth="1"/>
    <col min="4538" max="4538" width="13.5" style="123" customWidth="1"/>
    <col min="4539" max="4749" width="8.5" style="123"/>
    <col min="4750" max="4750" width="4.125" style="123" customWidth="1"/>
    <col min="4751" max="4751" width="16.125" style="123" customWidth="1"/>
    <col min="4752" max="4752" width="14.375" style="123" customWidth="1"/>
    <col min="4753" max="4753" width="10.375" style="123" customWidth="1"/>
    <col min="4754" max="4754" width="10.625" style="123" customWidth="1"/>
    <col min="4755" max="4755" width="10.5" style="123" customWidth="1"/>
    <col min="4756" max="4756" width="11.625" style="123" customWidth="1"/>
    <col min="4757" max="4757" width="12.5" style="123" customWidth="1"/>
    <col min="4758" max="4758" width="12" style="123" customWidth="1"/>
    <col min="4759" max="4759" width="8.125" style="123" customWidth="1"/>
    <col min="4760" max="4760" width="12.125" style="123" customWidth="1"/>
    <col min="4761" max="4761" width="10.625" style="123" customWidth="1"/>
    <col min="4762" max="4762" width="12" style="123" customWidth="1"/>
    <col min="4763" max="4763" width="10.625" style="123" customWidth="1"/>
    <col min="4764" max="4764" width="11.875" style="123" customWidth="1"/>
    <col min="4765" max="4765" width="10.625" style="123" customWidth="1"/>
    <col min="4766" max="4771" width="14.375" style="123" customWidth="1"/>
    <col min="4772" max="4772" width="9.125" style="123" customWidth="1"/>
    <col min="4773" max="4773" width="14.625" style="123" customWidth="1"/>
    <col min="4774" max="4775" width="11.875" style="123" customWidth="1"/>
    <col min="4776" max="4776" width="13.5" style="123" customWidth="1"/>
    <col min="4777" max="4777" width="13.375" style="123" customWidth="1"/>
    <col min="4778" max="4778" width="14.5" style="123" customWidth="1"/>
    <col min="4779" max="4779" width="12.5" style="123" customWidth="1"/>
    <col min="4780" max="4780" width="12" style="123" customWidth="1"/>
    <col min="4781" max="4781" width="11" style="123" customWidth="1"/>
    <col min="4782" max="4782" width="12.625" style="123" customWidth="1"/>
    <col min="4783" max="4783" width="13.125" style="123" customWidth="1"/>
    <col min="4784" max="4784" width="11.375" style="123" customWidth="1"/>
    <col min="4785" max="4785" width="13.375" style="123" customWidth="1"/>
    <col min="4786" max="4786" width="15.375" style="123" customWidth="1"/>
    <col min="4787" max="4787" width="14.5" style="123" customWidth="1"/>
    <col min="4788" max="4788" width="13.125" style="123" customWidth="1"/>
    <col min="4789" max="4789" width="13" style="123" customWidth="1"/>
    <col min="4790" max="4790" width="12.625" style="123" customWidth="1"/>
    <col min="4791" max="4792" width="10.625" style="123" customWidth="1"/>
    <col min="4793" max="4793" width="11.375" style="123" customWidth="1"/>
    <col min="4794" max="4794" width="13.5" style="123" customWidth="1"/>
    <col min="4795" max="5005" width="8.5" style="123"/>
    <col min="5006" max="5006" width="4.125" style="123" customWidth="1"/>
    <col min="5007" max="5007" width="16.125" style="123" customWidth="1"/>
    <col min="5008" max="5008" width="14.375" style="123" customWidth="1"/>
    <col min="5009" max="5009" width="10.375" style="123" customWidth="1"/>
    <col min="5010" max="5010" width="10.625" style="123" customWidth="1"/>
    <col min="5011" max="5011" width="10.5" style="123" customWidth="1"/>
    <col min="5012" max="5012" width="11.625" style="123" customWidth="1"/>
    <col min="5013" max="5013" width="12.5" style="123" customWidth="1"/>
    <col min="5014" max="5014" width="12" style="123" customWidth="1"/>
    <col min="5015" max="5015" width="8.125" style="123" customWidth="1"/>
    <col min="5016" max="5016" width="12.125" style="123" customWidth="1"/>
    <col min="5017" max="5017" width="10.625" style="123" customWidth="1"/>
    <col min="5018" max="5018" width="12" style="123" customWidth="1"/>
    <col min="5019" max="5019" width="10.625" style="123" customWidth="1"/>
    <col min="5020" max="5020" width="11.875" style="123" customWidth="1"/>
    <col min="5021" max="5021" width="10.625" style="123" customWidth="1"/>
    <col min="5022" max="5027" width="14.375" style="123" customWidth="1"/>
    <col min="5028" max="5028" width="9.125" style="123" customWidth="1"/>
    <col min="5029" max="5029" width="14.625" style="123" customWidth="1"/>
    <col min="5030" max="5031" width="11.875" style="123" customWidth="1"/>
    <col min="5032" max="5032" width="13.5" style="123" customWidth="1"/>
    <col min="5033" max="5033" width="13.375" style="123" customWidth="1"/>
    <col min="5034" max="5034" width="14.5" style="123" customWidth="1"/>
    <col min="5035" max="5035" width="12.5" style="123" customWidth="1"/>
    <col min="5036" max="5036" width="12" style="123" customWidth="1"/>
    <col min="5037" max="5037" width="11" style="123" customWidth="1"/>
    <col min="5038" max="5038" width="12.625" style="123" customWidth="1"/>
    <col min="5039" max="5039" width="13.125" style="123" customWidth="1"/>
    <col min="5040" max="5040" width="11.375" style="123" customWidth="1"/>
    <col min="5041" max="5041" width="13.375" style="123" customWidth="1"/>
    <col min="5042" max="5042" width="15.375" style="123" customWidth="1"/>
    <col min="5043" max="5043" width="14.5" style="123" customWidth="1"/>
    <col min="5044" max="5044" width="13.125" style="123" customWidth="1"/>
    <col min="5045" max="5045" width="13" style="123" customWidth="1"/>
    <col min="5046" max="5046" width="12.625" style="123" customWidth="1"/>
    <col min="5047" max="5048" width="10.625" style="123" customWidth="1"/>
    <col min="5049" max="5049" width="11.375" style="123" customWidth="1"/>
    <col min="5050" max="5050" width="13.5" style="123" customWidth="1"/>
    <col min="5051" max="5261" width="8.5" style="123"/>
    <col min="5262" max="5262" width="4.125" style="123" customWidth="1"/>
    <col min="5263" max="5263" width="16.125" style="123" customWidth="1"/>
    <col min="5264" max="5264" width="14.375" style="123" customWidth="1"/>
    <col min="5265" max="5265" width="10.375" style="123" customWidth="1"/>
    <col min="5266" max="5266" width="10.625" style="123" customWidth="1"/>
    <col min="5267" max="5267" width="10.5" style="123" customWidth="1"/>
    <col min="5268" max="5268" width="11.625" style="123" customWidth="1"/>
    <col min="5269" max="5269" width="12.5" style="123" customWidth="1"/>
    <col min="5270" max="5270" width="12" style="123" customWidth="1"/>
    <col min="5271" max="5271" width="8.125" style="123" customWidth="1"/>
    <col min="5272" max="5272" width="12.125" style="123" customWidth="1"/>
    <col min="5273" max="5273" width="10.625" style="123" customWidth="1"/>
    <col min="5274" max="5274" width="12" style="123" customWidth="1"/>
    <col min="5275" max="5275" width="10.625" style="123" customWidth="1"/>
    <col min="5276" max="5276" width="11.875" style="123" customWidth="1"/>
    <col min="5277" max="5277" width="10.625" style="123" customWidth="1"/>
    <col min="5278" max="5283" width="14.375" style="123" customWidth="1"/>
    <col min="5284" max="5284" width="9.125" style="123" customWidth="1"/>
    <col min="5285" max="5285" width="14.625" style="123" customWidth="1"/>
    <col min="5286" max="5287" width="11.875" style="123" customWidth="1"/>
    <col min="5288" max="5288" width="13.5" style="123" customWidth="1"/>
    <col min="5289" max="5289" width="13.375" style="123" customWidth="1"/>
    <col min="5290" max="5290" width="14.5" style="123" customWidth="1"/>
    <col min="5291" max="5291" width="12.5" style="123" customWidth="1"/>
    <col min="5292" max="5292" width="12" style="123" customWidth="1"/>
    <col min="5293" max="5293" width="11" style="123" customWidth="1"/>
    <col min="5294" max="5294" width="12.625" style="123" customWidth="1"/>
    <col min="5295" max="5295" width="13.125" style="123" customWidth="1"/>
    <col min="5296" max="5296" width="11.375" style="123" customWidth="1"/>
    <col min="5297" max="5297" width="13.375" style="123" customWidth="1"/>
    <col min="5298" max="5298" width="15.375" style="123" customWidth="1"/>
    <col min="5299" max="5299" width="14.5" style="123" customWidth="1"/>
    <col min="5300" max="5300" width="13.125" style="123" customWidth="1"/>
    <col min="5301" max="5301" width="13" style="123" customWidth="1"/>
    <col min="5302" max="5302" width="12.625" style="123" customWidth="1"/>
    <col min="5303" max="5304" width="10.625" style="123" customWidth="1"/>
    <col min="5305" max="5305" width="11.375" style="123" customWidth="1"/>
    <col min="5306" max="5306" width="13.5" style="123" customWidth="1"/>
    <col min="5307" max="5517" width="8.5" style="123"/>
    <col min="5518" max="5518" width="4.125" style="123" customWidth="1"/>
    <col min="5519" max="5519" width="16.125" style="123" customWidth="1"/>
    <col min="5520" max="5520" width="14.375" style="123" customWidth="1"/>
    <col min="5521" max="5521" width="10.375" style="123" customWidth="1"/>
    <col min="5522" max="5522" width="10.625" style="123" customWidth="1"/>
    <col min="5523" max="5523" width="10.5" style="123" customWidth="1"/>
    <col min="5524" max="5524" width="11.625" style="123" customWidth="1"/>
    <col min="5525" max="5525" width="12.5" style="123" customWidth="1"/>
    <col min="5526" max="5526" width="12" style="123" customWidth="1"/>
    <col min="5527" max="5527" width="8.125" style="123" customWidth="1"/>
    <col min="5528" max="5528" width="12.125" style="123" customWidth="1"/>
    <col min="5529" max="5529" width="10.625" style="123" customWidth="1"/>
    <col min="5530" max="5530" width="12" style="123" customWidth="1"/>
    <col min="5531" max="5531" width="10.625" style="123" customWidth="1"/>
    <col min="5532" max="5532" width="11.875" style="123" customWidth="1"/>
    <col min="5533" max="5533" width="10.625" style="123" customWidth="1"/>
    <col min="5534" max="5539" width="14.375" style="123" customWidth="1"/>
    <col min="5540" max="5540" width="9.125" style="123" customWidth="1"/>
    <col min="5541" max="5541" width="14.625" style="123" customWidth="1"/>
    <col min="5542" max="5543" width="11.875" style="123" customWidth="1"/>
    <col min="5544" max="5544" width="13.5" style="123" customWidth="1"/>
    <col min="5545" max="5545" width="13.375" style="123" customWidth="1"/>
    <col min="5546" max="5546" width="14.5" style="123" customWidth="1"/>
    <col min="5547" max="5547" width="12.5" style="123" customWidth="1"/>
    <col min="5548" max="5548" width="12" style="123" customWidth="1"/>
    <col min="5549" max="5549" width="11" style="123" customWidth="1"/>
    <col min="5550" max="5550" width="12.625" style="123" customWidth="1"/>
    <col min="5551" max="5551" width="13.125" style="123" customWidth="1"/>
    <col min="5552" max="5552" width="11.375" style="123" customWidth="1"/>
    <col min="5553" max="5553" width="13.375" style="123" customWidth="1"/>
    <col min="5554" max="5554" width="15.375" style="123" customWidth="1"/>
    <col min="5555" max="5555" width="14.5" style="123" customWidth="1"/>
    <col min="5556" max="5556" width="13.125" style="123" customWidth="1"/>
    <col min="5557" max="5557" width="13" style="123" customWidth="1"/>
    <col min="5558" max="5558" width="12.625" style="123" customWidth="1"/>
    <col min="5559" max="5560" width="10.625" style="123" customWidth="1"/>
    <col min="5561" max="5561" width="11.375" style="123" customWidth="1"/>
    <col min="5562" max="5562" width="13.5" style="123" customWidth="1"/>
    <col min="5563" max="5773" width="8.5" style="123"/>
    <col min="5774" max="5774" width="4.125" style="123" customWidth="1"/>
    <col min="5775" max="5775" width="16.125" style="123" customWidth="1"/>
    <col min="5776" max="5776" width="14.375" style="123" customWidth="1"/>
    <col min="5777" max="5777" width="10.375" style="123" customWidth="1"/>
    <col min="5778" max="5778" width="10.625" style="123" customWidth="1"/>
    <col min="5779" max="5779" width="10.5" style="123" customWidth="1"/>
    <col min="5780" max="5780" width="11.625" style="123" customWidth="1"/>
    <col min="5781" max="5781" width="12.5" style="123" customWidth="1"/>
    <col min="5782" max="5782" width="12" style="123" customWidth="1"/>
    <col min="5783" max="5783" width="8.125" style="123" customWidth="1"/>
    <col min="5784" max="5784" width="12.125" style="123" customWidth="1"/>
    <col min="5785" max="5785" width="10.625" style="123" customWidth="1"/>
    <col min="5786" max="5786" width="12" style="123" customWidth="1"/>
    <col min="5787" max="5787" width="10.625" style="123" customWidth="1"/>
    <col min="5788" max="5788" width="11.875" style="123" customWidth="1"/>
    <col min="5789" max="5789" width="10.625" style="123" customWidth="1"/>
    <col min="5790" max="5795" width="14.375" style="123" customWidth="1"/>
    <col min="5796" max="5796" width="9.125" style="123" customWidth="1"/>
    <col min="5797" max="5797" width="14.625" style="123" customWidth="1"/>
    <col min="5798" max="5799" width="11.875" style="123" customWidth="1"/>
    <col min="5800" max="5800" width="13.5" style="123" customWidth="1"/>
    <col min="5801" max="5801" width="13.375" style="123" customWidth="1"/>
    <col min="5802" max="5802" width="14.5" style="123" customWidth="1"/>
    <col min="5803" max="5803" width="12.5" style="123" customWidth="1"/>
    <col min="5804" max="5804" width="12" style="123" customWidth="1"/>
    <col min="5805" max="5805" width="11" style="123" customWidth="1"/>
    <col min="5806" max="5806" width="12.625" style="123" customWidth="1"/>
    <col min="5807" max="5807" width="13.125" style="123" customWidth="1"/>
    <col min="5808" max="5808" width="11.375" style="123" customWidth="1"/>
    <col min="5809" max="5809" width="13.375" style="123" customWidth="1"/>
    <col min="5810" max="5810" width="15.375" style="123" customWidth="1"/>
    <col min="5811" max="5811" width="14.5" style="123" customWidth="1"/>
    <col min="5812" max="5812" width="13.125" style="123" customWidth="1"/>
    <col min="5813" max="5813" width="13" style="123" customWidth="1"/>
    <col min="5814" max="5814" width="12.625" style="123" customWidth="1"/>
    <col min="5815" max="5816" width="10.625" style="123" customWidth="1"/>
    <col min="5817" max="5817" width="11.375" style="123" customWidth="1"/>
    <col min="5818" max="5818" width="13.5" style="123" customWidth="1"/>
    <col min="5819" max="6029" width="8.5" style="123"/>
    <col min="6030" max="6030" width="4.125" style="123" customWidth="1"/>
    <col min="6031" max="6031" width="16.125" style="123" customWidth="1"/>
    <col min="6032" max="6032" width="14.375" style="123" customWidth="1"/>
    <col min="6033" max="6033" width="10.375" style="123" customWidth="1"/>
    <col min="6034" max="6034" width="10.625" style="123" customWidth="1"/>
    <col min="6035" max="6035" width="10.5" style="123" customWidth="1"/>
    <col min="6036" max="6036" width="11.625" style="123" customWidth="1"/>
    <col min="6037" max="6037" width="12.5" style="123" customWidth="1"/>
    <col min="6038" max="6038" width="12" style="123" customWidth="1"/>
    <col min="6039" max="6039" width="8.125" style="123" customWidth="1"/>
    <col min="6040" max="6040" width="12.125" style="123" customWidth="1"/>
    <col min="6041" max="6041" width="10.625" style="123" customWidth="1"/>
    <col min="6042" max="6042" width="12" style="123" customWidth="1"/>
    <col min="6043" max="6043" width="10.625" style="123" customWidth="1"/>
    <col min="6044" max="6044" width="11.875" style="123" customWidth="1"/>
    <col min="6045" max="6045" width="10.625" style="123" customWidth="1"/>
    <col min="6046" max="6051" width="14.375" style="123" customWidth="1"/>
    <col min="6052" max="6052" width="9.125" style="123" customWidth="1"/>
    <col min="6053" max="6053" width="14.625" style="123" customWidth="1"/>
    <col min="6054" max="6055" width="11.875" style="123" customWidth="1"/>
    <col min="6056" max="6056" width="13.5" style="123" customWidth="1"/>
    <col min="6057" max="6057" width="13.375" style="123" customWidth="1"/>
    <col min="6058" max="6058" width="14.5" style="123" customWidth="1"/>
    <col min="6059" max="6059" width="12.5" style="123" customWidth="1"/>
    <col min="6060" max="6060" width="12" style="123" customWidth="1"/>
    <col min="6061" max="6061" width="11" style="123" customWidth="1"/>
    <col min="6062" max="6062" width="12.625" style="123" customWidth="1"/>
    <col min="6063" max="6063" width="13.125" style="123" customWidth="1"/>
    <col min="6064" max="6064" width="11.375" style="123" customWidth="1"/>
    <col min="6065" max="6065" width="13.375" style="123" customWidth="1"/>
    <col min="6066" max="6066" width="15.375" style="123" customWidth="1"/>
    <col min="6067" max="6067" width="14.5" style="123" customWidth="1"/>
    <col min="6068" max="6068" width="13.125" style="123" customWidth="1"/>
    <col min="6069" max="6069" width="13" style="123" customWidth="1"/>
    <col min="6070" max="6070" width="12.625" style="123" customWidth="1"/>
    <col min="6071" max="6072" width="10.625" style="123" customWidth="1"/>
    <col min="6073" max="6073" width="11.375" style="123" customWidth="1"/>
    <col min="6074" max="6074" width="13.5" style="123" customWidth="1"/>
    <col min="6075" max="6285" width="8.5" style="123"/>
    <col min="6286" max="6286" width="4.125" style="123" customWidth="1"/>
    <col min="6287" max="6287" width="16.125" style="123" customWidth="1"/>
    <col min="6288" max="6288" width="14.375" style="123" customWidth="1"/>
    <col min="6289" max="6289" width="10.375" style="123" customWidth="1"/>
    <col min="6290" max="6290" width="10.625" style="123" customWidth="1"/>
    <col min="6291" max="6291" width="10.5" style="123" customWidth="1"/>
    <col min="6292" max="6292" width="11.625" style="123" customWidth="1"/>
    <col min="6293" max="6293" width="12.5" style="123" customWidth="1"/>
    <col min="6294" max="6294" width="12" style="123" customWidth="1"/>
    <col min="6295" max="6295" width="8.125" style="123" customWidth="1"/>
    <col min="6296" max="6296" width="12.125" style="123" customWidth="1"/>
    <col min="6297" max="6297" width="10.625" style="123" customWidth="1"/>
    <col min="6298" max="6298" width="12" style="123" customWidth="1"/>
    <col min="6299" max="6299" width="10.625" style="123" customWidth="1"/>
    <col min="6300" max="6300" width="11.875" style="123" customWidth="1"/>
    <col min="6301" max="6301" width="10.625" style="123" customWidth="1"/>
    <col min="6302" max="6307" width="14.375" style="123" customWidth="1"/>
    <col min="6308" max="6308" width="9.125" style="123" customWidth="1"/>
    <col min="6309" max="6309" width="14.625" style="123" customWidth="1"/>
    <col min="6310" max="6311" width="11.875" style="123" customWidth="1"/>
    <col min="6312" max="6312" width="13.5" style="123" customWidth="1"/>
    <col min="6313" max="6313" width="13.375" style="123" customWidth="1"/>
    <col min="6314" max="6314" width="14.5" style="123" customWidth="1"/>
    <col min="6315" max="6315" width="12.5" style="123" customWidth="1"/>
    <col min="6316" max="6316" width="12" style="123" customWidth="1"/>
    <col min="6317" max="6317" width="11" style="123" customWidth="1"/>
    <col min="6318" max="6318" width="12.625" style="123" customWidth="1"/>
    <col min="6319" max="6319" width="13.125" style="123" customWidth="1"/>
    <col min="6320" max="6320" width="11.375" style="123" customWidth="1"/>
    <col min="6321" max="6321" width="13.375" style="123" customWidth="1"/>
    <col min="6322" max="6322" width="15.375" style="123" customWidth="1"/>
    <col min="6323" max="6323" width="14.5" style="123" customWidth="1"/>
    <col min="6324" max="6324" width="13.125" style="123" customWidth="1"/>
    <col min="6325" max="6325" width="13" style="123" customWidth="1"/>
    <col min="6326" max="6326" width="12.625" style="123" customWidth="1"/>
    <col min="6327" max="6328" width="10.625" style="123" customWidth="1"/>
    <col min="6329" max="6329" width="11.375" style="123" customWidth="1"/>
    <col min="6330" max="6330" width="13.5" style="123" customWidth="1"/>
    <col min="6331" max="6541" width="8.5" style="123"/>
    <col min="6542" max="6542" width="4.125" style="123" customWidth="1"/>
    <col min="6543" max="6543" width="16.125" style="123" customWidth="1"/>
    <col min="6544" max="6544" width="14.375" style="123" customWidth="1"/>
    <col min="6545" max="6545" width="10.375" style="123" customWidth="1"/>
    <col min="6546" max="6546" width="10.625" style="123" customWidth="1"/>
    <col min="6547" max="6547" width="10.5" style="123" customWidth="1"/>
    <col min="6548" max="6548" width="11.625" style="123" customWidth="1"/>
    <col min="6549" max="6549" width="12.5" style="123" customWidth="1"/>
    <col min="6550" max="6550" width="12" style="123" customWidth="1"/>
    <col min="6551" max="6551" width="8.125" style="123" customWidth="1"/>
    <col min="6552" max="6552" width="12.125" style="123" customWidth="1"/>
    <col min="6553" max="6553" width="10.625" style="123" customWidth="1"/>
    <col min="6554" max="6554" width="12" style="123" customWidth="1"/>
    <col min="6555" max="6555" width="10.625" style="123" customWidth="1"/>
    <col min="6556" max="6556" width="11.875" style="123" customWidth="1"/>
    <col min="6557" max="6557" width="10.625" style="123" customWidth="1"/>
    <col min="6558" max="6563" width="14.375" style="123" customWidth="1"/>
    <col min="6564" max="6564" width="9.125" style="123" customWidth="1"/>
    <col min="6565" max="6565" width="14.625" style="123" customWidth="1"/>
    <col min="6566" max="6567" width="11.875" style="123" customWidth="1"/>
    <col min="6568" max="6568" width="13.5" style="123" customWidth="1"/>
    <col min="6569" max="6569" width="13.375" style="123" customWidth="1"/>
    <col min="6570" max="6570" width="14.5" style="123" customWidth="1"/>
    <col min="6571" max="6571" width="12.5" style="123" customWidth="1"/>
    <col min="6572" max="6572" width="12" style="123" customWidth="1"/>
    <col min="6573" max="6573" width="11" style="123" customWidth="1"/>
    <col min="6574" max="6574" width="12.625" style="123" customWidth="1"/>
    <col min="6575" max="6575" width="13.125" style="123" customWidth="1"/>
    <col min="6576" max="6576" width="11.375" style="123" customWidth="1"/>
    <col min="6577" max="6577" width="13.375" style="123" customWidth="1"/>
    <col min="6578" max="6578" width="15.375" style="123" customWidth="1"/>
    <col min="6579" max="6579" width="14.5" style="123" customWidth="1"/>
    <col min="6580" max="6580" width="13.125" style="123" customWidth="1"/>
    <col min="6581" max="6581" width="13" style="123" customWidth="1"/>
    <col min="6582" max="6582" width="12.625" style="123" customWidth="1"/>
    <col min="6583" max="6584" width="10.625" style="123" customWidth="1"/>
    <col min="6585" max="6585" width="11.375" style="123" customWidth="1"/>
    <col min="6586" max="6586" width="13.5" style="123" customWidth="1"/>
    <col min="6587" max="6797" width="8.5" style="123"/>
    <col min="6798" max="6798" width="4.125" style="123" customWidth="1"/>
    <col min="6799" max="6799" width="16.125" style="123" customWidth="1"/>
    <col min="6800" max="6800" width="14.375" style="123" customWidth="1"/>
    <col min="6801" max="6801" width="10.375" style="123" customWidth="1"/>
    <col min="6802" max="6802" width="10.625" style="123" customWidth="1"/>
    <col min="6803" max="6803" width="10.5" style="123" customWidth="1"/>
    <col min="6804" max="6804" width="11.625" style="123" customWidth="1"/>
    <col min="6805" max="6805" width="12.5" style="123" customWidth="1"/>
    <col min="6806" max="6806" width="12" style="123" customWidth="1"/>
    <col min="6807" max="6807" width="8.125" style="123" customWidth="1"/>
    <col min="6808" max="6808" width="12.125" style="123" customWidth="1"/>
    <col min="6809" max="6809" width="10.625" style="123" customWidth="1"/>
    <col min="6810" max="6810" width="12" style="123" customWidth="1"/>
    <col min="6811" max="6811" width="10.625" style="123" customWidth="1"/>
    <col min="6812" max="6812" width="11.875" style="123" customWidth="1"/>
    <col min="6813" max="6813" width="10.625" style="123" customWidth="1"/>
    <col min="6814" max="6819" width="14.375" style="123" customWidth="1"/>
    <col min="6820" max="6820" width="9.125" style="123" customWidth="1"/>
    <col min="6821" max="6821" width="14.625" style="123" customWidth="1"/>
    <col min="6822" max="6823" width="11.875" style="123" customWidth="1"/>
    <col min="6824" max="6824" width="13.5" style="123" customWidth="1"/>
    <col min="6825" max="6825" width="13.375" style="123" customWidth="1"/>
    <col min="6826" max="6826" width="14.5" style="123" customWidth="1"/>
    <col min="6827" max="6827" width="12.5" style="123" customWidth="1"/>
    <col min="6828" max="6828" width="12" style="123" customWidth="1"/>
    <col min="6829" max="6829" width="11" style="123" customWidth="1"/>
    <col min="6830" max="6830" width="12.625" style="123" customWidth="1"/>
    <col min="6831" max="6831" width="13.125" style="123" customWidth="1"/>
    <col min="6832" max="6832" width="11.375" style="123" customWidth="1"/>
    <col min="6833" max="6833" width="13.375" style="123" customWidth="1"/>
    <col min="6834" max="6834" width="15.375" style="123" customWidth="1"/>
    <col min="6835" max="6835" width="14.5" style="123" customWidth="1"/>
    <col min="6836" max="6836" width="13.125" style="123" customWidth="1"/>
    <col min="6837" max="6837" width="13" style="123" customWidth="1"/>
    <col min="6838" max="6838" width="12.625" style="123" customWidth="1"/>
    <col min="6839" max="6840" width="10.625" style="123" customWidth="1"/>
    <col min="6841" max="6841" width="11.375" style="123" customWidth="1"/>
    <col min="6842" max="6842" width="13.5" style="123" customWidth="1"/>
    <col min="6843" max="7053" width="8.5" style="123"/>
    <col min="7054" max="7054" width="4.125" style="123" customWidth="1"/>
    <col min="7055" max="7055" width="16.125" style="123" customWidth="1"/>
    <col min="7056" max="7056" width="14.375" style="123" customWidth="1"/>
    <col min="7057" max="7057" width="10.375" style="123" customWidth="1"/>
    <col min="7058" max="7058" width="10.625" style="123" customWidth="1"/>
    <col min="7059" max="7059" width="10.5" style="123" customWidth="1"/>
    <col min="7060" max="7060" width="11.625" style="123" customWidth="1"/>
    <col min="7061" max="7061" width="12.5" style="123" customWidth="1"/>
    <col min="7062" max="7062" width="12" style="123" customWidth="1"/>
    <col min="7063" max="7063" width="8.125" style="123" customWidth="1"/>
    <col min="7064" max="7064" width="12.125" style="123" customWidth="1"/>
    <col min="7065" max="7065" width="10.625" style="123" customWidth="1"/>
    <col min="7066" max="7066" width="12" style="123" customWidth="1"/>
    <col min="7067" max="7067" width="10.625" style="123" customWidth="1"/>
    <col min="7068" max="7068" width="11.875" style="123" customWidth="1"/>
    <col min="7069" max="7069" width="10.625" style="123" customWidth="1"/>
    <col min="7070" max="7075" width="14.375" style="123" customWidth="1"/>
    <col min="7076" max="7076" width="9.125" style="123" customWidth="1"/>
    <col min="7077" max="7077" width="14.625" style="123" customWidth="1"/>
    <col min="7078" max="7079" width="11.875" style="123" customWidth="1"/>
    <col min="7080" max="7080" width="13.5" style="123" customWidth="1"/>
    <col min="7081" max="7081" width="13.375" style="123" customWidth="1"/>
    <col min="7082" max="7082" width="14.5" style="123" customWidth="1"/>
    <col min="7083" max="7083" width="12.5" style="123" customWidth="1"/>
    <col min="7084" max="7084" width="12" style="123" customWidth="1"/>
    <col min="7085" max="7085" width="11" style="123" customWidth="1"/>
    <col min="7086" max="7086" width="12.625" style="123" customWidth="1"/>
    <col min="7087" max="7087" width="13.125" style="123" customWidth="1"/>
    <col min="7088" max="7088" width="11.375" style="123" customWidth="1"/>
    <col min="7089" max="7089" width="13.375" style="123" customWidth="1"/>
    <col min="7090" max="7090" width="15.375" style="123" customWidth="1"/>
    <col min="7091" max="7091" width="14.5" style="123" customWidth="1"/>
    <col min="7092" max="7092" width="13.125" style="123" customWidth="1"/>
    <col min="7093" max="7093" width="13" style="123" customWidth="1"/>
    <col min="7094" max="7094" width="12.625" style="123" customWidth="1"/>
    <col min="7095" max="7096" width="10.625" style="123" customWidth="1"/>
    <col min="7097" max="7097" width="11.375" style="123" customWidth="1"/>
    <col min="7098" max="7098" width="13.5" style="123" customWidth="1"/>
    <col min="7099" max="7309" width="8.5" style="123"/>
    <col min="7310" max="7310" width="4.125" style="123" customWidth="1"/>
    <col min="7311" max="7311" width="16.125" style="123" customWidth="1"/>
    <col min="7312" max="7312" width="14.375" style="123" customWidth="1"/>
    <col min="7313" max="7313" width="10.375" style="123" customWidth="1"/>
    <col min="7314" max="7314" width="10.625" style="123" customWidth="1"/>
    <col min="7315" max="7315" width="10.5" style="123" customWidth="1"/>
    <col min="7316" max="7316" width="11.625" style="123" customWidth="1"/>
    <col min="7317" max="7317" width="12.5" style="123" customWidth="1"/>
    <col min="7318" max="7318" width="12" style="123" customWidth="1"/>
    <col min="7319" max="7319" width="8.125" style="123" customWidth="1"/>
    <col min="7320" max="7320" width="12.125" style="123" customWidth="1"/>
    <col min="7321" max="7321" width="10.625" style="123" customWidth="1"/>
    <col min="7322" max="7322" width="12" style="123" customWidth="1"/>
    <col min="7323" max="7323" width="10.625" style="123" customWidth="1"/>
    <col min="7324" max="7324" width="11.875" style="123" customWidth="1"/>
    <col min="7325" max="7325" width="10.625" style="123" customWidth="1"/>
    <col min="7326" max="7331" width="14.375" style="123" customWidth="1"/>
    <col min="7332" max="7332" width="9.125" style="123" customWidth="1"/>
    <col min="7333" max="7333" width="14.625" style="123" customWidth="1"/>
    <col min="7334" max="7335" width="11.875" style="123" customWidth="1"/>
    <col min="7336" max="7336" width="13.5" style="123" customWidth="1"/>
    <col min="7337" max="7337" width="13.375" style="123" customWidth="1"/>
    <col min="7338" max="7338" width="14.5" style="123" customWidth="1"/>
    <col min="7339" max="7339" width="12.5" style="123" customWidth="1"/>
    <col min="7340" max="7340" width="12" style="123" customWidth="1"/>
    <col min="7341" max="7341" width="11" style="123" customWidth="1"/>
    <col min="7342" max="7342" width="12.625" style="123" customWidth="1"/>
    <col min="7343" max="7343" width="13.125" style="123" customWidth="1"/>
    <col min="7344" max="7344" width="11.375" style="123" customWidth="1"/>
    <col min="7345" max="7345" width="13.375" style="123" customWidth="1"/>
    <col min="7346" max="7346" width="15.375" style="123" customWidth="1"/>
    <col min="7347" max="7347" width="14.5" style="123" customWidth="1"/>
    <col min="7348" max="7348" width="13.125" style="123" customWidth="1"/>
    <col min="7349" max="7349" width="13" style="123" customWidth="1"/>
    <col min="7350" max="7350" width="12.625" style="123" customWidth="1"/>
    <col min="7351" max="7352" width="10.625" style="123" customWidth="1"/>
    <col min="7353" max="7353" width="11.375" style="123" customWidth="1"/>
    <col min="7354" max="7354" width="13.5" style="123" customWidth="1"/>
    <col min="7355" max="7565" width="8.5" style="123"/>
    <col min="7566" max="7566" width="4.125" style="123" customWidth="1"/>
    <col min="7567" max="7567" width="16.125" style="123" customWidth="1"/>
    <col min="7568" max="7568" width="14.375" style="123" customWidth="1"/>
    <col min="7569" max="7569" width="10.375" style="123" customWidth="1"/>
    <col min="7570" max="7570" width="10.625" style="123" customWidth="1"/>
    <col min="7571" max="7571" width="10.5" style="123" customWidth="1"/>
    <col min="7572" max="7572" width="11.625" style="123" customWidth="1"/>
    <col min="7573" max="7573" width="12.5" style="123" customWidth="1"/>
    <col min="7574" max="7574" width="12" style="123" customWidth="1"/>
    <col min="7575" max="7575" width="8.125" style="123" customWidth="1"/>
    <col min="7576" max="7576" width="12.125" style="123" customWidth="1"/>
    <col min="7577" max="7577" width="10.625" style="123" customWidth="1"/>
    <col min="7578" max="7578" width="12" style="123" customWidth="1"/>
    <col min="7579" max="7579" width="10.625" style="123" customWidth="1"/>
    <col min="7580" max="7580" width="11.875" style="123" customWidth="1"/>
    <col min="7581" max="7581" width="10.625" style="123" customWidth="1"/>
    <col min="7582" max="7587" width="14.375" style="123" customWidth="1"/>
    <col min="7588" max="7588" width="9.125" style="123" customWidth="1"/>
    <col min="7589" max="7589" width="14.625" style="123" customWidth="1"/>
    <col min="7590" max="7591" width="11.875" style="123" customWidth="1"/>
    <col min="7592" max="7592" width="13.5" style="123" customWidth="1"/>
    <col min="7593" max="7593" width="13.375" style="123" customWidth="1"/>
    <col min="7594" max="7594" width="14.5" style="123" customWidth="1"/>
    <col min="7595" max="7595" width="12.5" style="123" customWidth="1"/>
    <col min="7596" max="7596" width="12" style="123" customWidth="1"/>
    <col min="7597" max="7597" width="11" style="123" customWidth="1"/>
    <col min="7598" max="7598" width="12.625" style="123" customWidth="1"/>
    <col min="7599" max="7599" width="13.125" style="123" customWidth="1"/>
    <col min="7600" max="7600" width="11.375" style="123" customWidth="1"/>
    <col min="7601" max="7601" width="13.375" style="123" customWidth="1"/>
    <col min="7602" max="7602" width="15.375" style="123" customWidth="1"/>
    <col min="7603" max="7603" width="14.5" style="123" customWidth="1"/>
    <col min="7604" max="7604" width="13.125" style="123" customWidth="1"/>
    <col min="7605" max="7605" width="13" style="123" customWidth="1"/>
    <col min="7606" max="7606" width="12.625" style="123" customWidth="1"/>
    <col min="7607" max="7608" width="10.625" style="123" customWidth="1"/>
    <col min="7609" max="7609" width="11.375" style="123" customWidth="1"/>
    <col min="7610" max="7610" width="13.5" style="123" customWidth="1"/>
    <col min="7611" max="7821" width="8.5" style="123"/>
    <col min="7822" max="7822" width="4.125" style="123" customWidth="1"/>
    <col min="7823" max="7823" width="16.125" style="123" customWidth="1"/>
    <col min="7824" max="7824" width="14.375" style="123" customWidth="1"/>
    <col min="7825" max="7825" width="10.375" style="123" customWidth="1"/>
    <col min="7826" max="7826" width="10.625" style="123" customWidth="1"/>
    <col min="7827" max="7827" width="10.5" style="123" customWidth="1"/>
    <col min="7828" max="7828" width="11.625" style="123" customWidth="1"/>
    <col min="7829" max="7829" width="12.5" style="123" customWidth="1"/>
    <col min="7830" max="7830" width="12" style="123" customWidth="1"/>
    <col min="7831" max="7831" width="8.125" style="123" customWidth="1"/>
    <col min="7832" max="7832" width="12.125" style="123" customWidth="1"/>
    <col min="7833" max="7833" width="10.625" style="123" customWidth="1"/>
    <col min="7834" max="7834" width="12" style="123" customWidth="1"/>
    <col min="7835" max="7835" width="10.625" style="123" customWidth="1"/>
    <col min="7836" max="7836" width="11.875" style="123" customWidth="1"/>
    <col min="7837" max="7837" width="10.625" style="123" customWidth="1"/>
    <col min="7838" max="7843" width="14.375" style="123" customWidth="1"/>
    <col min="7844" max="7844" width="9.125" style="123" customWidth="1"/>
    <col min="7845" max="7845" width="14.625" style="123" customWidth="1"/>
    <col min="7846" max="7847" width="11.875" style="123" customWidth="1"/>
    <col min="7848" max="7848" width="13.5" style="123" customWidth="1"/>
    <col min="7849" max="7849" width="13.375" style="123" customWidth="1"/>
    <col min="7850" max="7850" width="14.5" style="123" customWidth="1"/>
    <col min="7851" max="7851" width="12.5" style="123" customWidth="1"/>
    <col min="7852" max="7852" width="12" style="123" customWidth="1"/>
    <col min="7853" max="7853" width="11" style="123" customWidth="1"/>
    <col min="7854" max="7854" width="12.625" style="123" customWidth="1"/>
    <col min="7855" max="7855" width="13.125" style="123" customWidth="1"/>
    <col min="7856" max="7856" width="11.375" style="123" customWidth="1"/>
    <col min="7857" max="7857" width="13.375" style="123" customWidth="1"/>
    <col min="7858" max="7858" width="15.375" style="123" customWidth="1"/>
    <col min="7859" max="7859" width="14.5" style="123" customWidth="1"/>
    <col min="7860" max="7860" width="13.125" style="123" customWidth="1"/>
    <col min="7861" max="7861" width="13" style="123" customWidth="1"/>
    <col min="7862" max="7862" width="12.625" style="123" customWidth="1"/>
    <col min="7863" max="7864" width="10.625" style="123" customWidth="1"/>
    <col min="7865" max="7865" width="11.375" style="123" customWidth="1"/>
    <col min="7866" max="7866" width="13.5" style="123" customWidth="1"/>
    <col min="7867" max="8077" width="8.5" style="123"/>
    <col min="8078" max="8078" width="4.125" style="123" customWidth="1"/>
    <col min="8079" max="8079" width="16.125" style="123" customWidth="1"/>
    <col min="8080" max="8080" width="14.375" style="123" customWidth="1"/>
    <col min="8081" max="8081" width="10.375" style="123" customWidth="1"/>
    <col min="8082" max="8082" width="10.625" style="123" customWidth="1"/>
    <col min="8083" max="8083" width="10.5" style="123" customWidth="1"/>
    <col min="8084" max="8084" width="11.625" style="123" customWidth="1"/>
    <col min="8085" max="8085" width="12.5" style="123" customWidth="1"/>
    <col min="8086" max="8086" width="12" style="123" customWidth="1"/>
    <col min="8087" max="8087" width="8.125" style="123" customWidth="1"/>
    <col min="8088" max="8088" width="12.125" style="123" customWidth="1"/>
    <col min="8089" max="8089" width="10.625" style="123" customWidth="1"/>
    <col min="8090" max="8090" width="12" style="123" customWidth="1"/>
    <col min="8091" max="8091" width="10.625" style="123" customWidth="1"/>
    <col min="8092" max="8092" width="11.875" style="123" customWidth="1"/>
    <col min="8093" max="8093" width="10.625" style="123" customWidth="1"/>
    <col min="8094" max="8099" width="14.375" style="123" customWidth="1"/>
    <col min="8100" max="8100" width="9.125" style="123" customWidth="1"/>
    <col min="8101" max="8101" width="14.625" style="123" customWidth="1"/>
    <col min="8102" max="8103" width="11.875" style="123" customWidth="1"/>
    <col min="8104" max="8104" width="13.5" style="123" customWidth="1"/>
    <col min="8105" max="8105" width="13.375" style="123" customWidth="1"/>
    <col min="8106" max="8106" width="14.5" style="123" customWidth="1"/>
    <col min="8107" max="8107" width="12.5" style="123" customWidth="1"/>
    <col min="8108" max="8108" width="12" style="123" customWidth="1"/>
    <col min="8109" max="8109" width="11" style="123" customWidth="1"/>
    <col min="8110" max="8110" width="12.625" style="123" customWidth="1"/>
    <col min="8111" max="8111" width="13.125" style="123" customWidth="1"/>
    <col min="8112" max="8112" width="11.375" style="123" customWidth="1"/>
    <col min="8113" max="8113" width="13.375" style="123" customWidth="1"/>
    <col min="8114" max="8114" width="15.375" style="123" customWidth="1"/>
    <col min="8115" max="8115" width="14.5" style="123" customWidth="1"/>
    <col min="8116" max="8116" width="13.125" style="123" customWidth="1"/>
    <col min="8117" max="8117" width="13" style="123" customWidth="1"/>
    <col min="8118" max="8118" width="12.625" style="123" customWidth="1"/>
    <col min="8119" max="8120" width="10.625" style="123" customWidth="1"/>
    <col min="8121" max="8121" width="11.375" style="123" customWidth="1"/>
    <col min="8122" max="8122" width="13.5" style="123" customWidth="1"/>
    <col min="8123" max="8333" width="8.5" style="123"/>
    <col min="8334" max="8334" width="4.125" style="123" customWidth="1"/>
    <col min="8335" max="8335" width="16.125" style="123" customWidth="1"/>
    <col min="8336" max="8336" width="14.375" style="123" customWidth="1"/>
    <col min="8337" max="8337" width="10.375" style="123" customWidth="1"/>
    <col min="8338" max="8338" width="10.625" style="123" customWidth="1"/>
    <col min="8339" max="8339" width="10.5" style="123" customWidth="1"/>
    <col min="8340" max="8340" width="11.625" style="123" customWidth="1"/>
    <col min="8341" max="8341" width="12.5" style="123" customWidth="1"/>
    <col min="8342" max="8342" width="12" style="123" customWidth="1"/>
    <col min="8343" max="8343" width="8.125" style="123" customWidth="1"/>
    <col min="8344" max="8344" width="12.125" style="123" customWidth="1"/>
    <col min="8345" max="8345" width="10.625" style="123" customWidth="1"/>
    <col min="8346" max="8346" width="12" style="123" customWidth="1"/>
    <col min="8347" max="8347" width="10.625" style="123" customWidth="1"/>
    <col min="8348" max="8348" width="11.875" style="123" customWidth="1"/>
    <col min="8349" max="8349" width="10.625" style="123" customWidth="1"/>
    <col min="8350" max="8355" width="14.375" style="123" customWidth="1"/>
    <col min="8356" max="8356" width="9.125" style="123" customWidth="1"/>
    <col min="8357" max="8357" width="14.625" style="123" customWidth="1"/>
    <col min="8358" max="8359" width="11.875" style="123" customWidth="1"/>
    <col min="8360" max="8360" width="13.5" style="123" customWidth="1"/>
    <col min="8361" max="8361" width="13.375" style="123" customWidth="1"/>
    <col min="8362" max="8362" width="14.5" style="123" customWidth="1"/>
    <col min="8363" max="8363" width="12.5" style="123" customWidth="1"/>
    <col min="8364" max="8364" width="12" style="123" customWidth="1"/>
    <col min="8365" max="8365" width="11" style="123" customWidth="1"/>
    <col min="8366" max="8366" width="12.625" style="123" customWidth="1"/>
    <col min="8367" max="8367" width="13.125" style="123" customWidth="1"/>
    <col min="8368" max="8368" width="11.375" style="123" customWidth="1"/>
    <col min="8369" max="8369" width="13.375" style="123" customWidth="1"/>
    <col min="8370" max="8370" width="15.375" style="123" customWidth="1"/>
    <col min="8371" max="8371" width="14.5" style="123" customWidth="1"/>
    <col min="8372" max="8372" width="13.125" style="123" customWidth="1"/>
    <col min="8373" max="8373" width="13" style="123" customWidth="1"/>
    <col min="8374" max="8374" width="12.625" style="123" customWidth="1"/>
    <col min="8375" max="8376" width="10.625" style="123" customWidth="1"/>
    <col min="8377" max="8377" width="11.375" style="123" customWidth="1"/>
    <col min="8378" max="8378" width="13.5" style="123" customWidth="1"/>
    <col min="8379" max="8589" width="8.5" style="123"/>
    <col min="8590" max="8590" width="4.125" style="123" customWidth="1"/>
    <col min="8591" max="8591" width="16.125" style="123" customWidth="1"/>
    <col min="8592" max="8592" width="14.375" style="123" customWidth="1"/>
    <col min="8593" max="8593" width="10.375" style="123" customWidth="1"/>
    <col min="8594" max="8594" width="10.625" style="123" customWidth="1"/>
    <col min="8595" max="8595" width="10.5" style="123" customWidth="1"/>
    <col min="8596" max="8596" width="11.625" style="123" customWidth="1"/>
    <col min="8597" max="8597" width="12.5" style="123" customWidth="1"/>
    <col min="8598" max="8598" width="12" style="123" customWidth="1"/>
    <col min="8599" max="8599" width="8.125" style="123" customWidth="1"/>
    <col min="8600" max="8600" width="12.125" style="123" customWidth="1"/>
    <col min="8601" max="8601" width="10.625" style="123" customWidth="1"/>
    <col min="8602" max="8602" width="12" style="123" customWidth="1"/>
    <col min="8603" max="8603" width="10.625" style="123" customWidth="1"/>
    <col min="8604" max="8604" width="11.875" style="123" customWidth="1"/>
    <col min="8605" max="8605" width="10.625" style="123" customWidth="1"/>
    <col min="8606" max="8611" width="14.375" style="123" customWidth="1"/>
    <col min="8612" max="8612" width="9.125" style="123" customWidth="1"/>
    <col min="8613" max="8613" width="14.625" style="123" customWidth="1"/>
    <col min="8614" max="8615" width="11.875" style="123" customWidth="1"/>
    <col min="8616" max="8616" width="13.5" style="123" customWidth="1"/>
    <col min="8617" max="8617" width="13.375" style="123" customWidth="1"/>
    <col min="8618" max="8618" width="14.5" style="123" customWidth="1"/>
    <col min="8619" max="8619" width="12.5" style="123" customWidth="1"/>
    <col min="8620" max="8620" width="12" style="123" customWidth="1"/>
    <col min="8621" max="8621" width="11" style="123" customWidth="1"/>
    <col min="8622" max="8622" width="12.625" style="123" customWidth="1"/>
    <col min="8623" max="8623" width="13.125" style="123" customWidth="1"/>
    <col min="8624" max="8624" width="11.375" style="123" customWidth="1"/>
    <col min="8625" max="8625" width="13.375" style="123" customWidth="1"/>
    <col min="8626" max="8626" width="15.375" style="123" customWidth="1"/>
    <col min="8627" max="8627" width="14.5" style="123" customWidth="1"/>
    <col min="8628" max="8628" width="13.125" style="123" customWidth="1"/>
    <col min="8629" max="8629" width="13" style="123" customWidth="1"/>
    <col min="8630" max="8630" width="12.625" style="123" customWidth="1"/>
    <col min="8631" max="8632" width="10.625" style="123" customWidth="1"/>
    <col min="8633" max="8633" width="11.375" style="123" customWidth="1"/>
    <col min="8634" max="8634" width="13.5" style="123" customWidth="1"/>
    <col min="8635" max="8845" width="8.5" style="123"/>
    <col min="8846" max="8846" width="4.125" style="123" customWidth="1"/>
    <col min="8847" max="8847" width="16.125" style="123" customWidth="1"/>
    <col min="8848" max="8848" width="14.375" style="123" customWidth="1"/>
    <col min="8849" max="8849" width="10.375" style="123" customWidth="1"/>
    <col min="8850" max="8850" width="10.625" style="123" customWidth="1"/>
    <col min="8851" max="8851" width="10.5" style="123" customWidth="1"/>
    <col min="8852" max="8852" width="11.625" style="123" customWidth="1"/>
    <col min="8853" max="8853" width="12.5" style="123" customWidth="1"/>
    <col min="8854" max="8854" width="12" style="123" customWidth="1"/>
    <col min="8855" max="8855" width="8.125" style="123" customWidth="1"/>
    <col min="8856" max="8856" width="12.125" style="123" customWidth="1"/>
    <col min="8857" max="8857" width="10.625" style="123" customWidth="1"/>
    <col min="8858" max="8858" width="12" style="123" customWidth="1"/>
    <col min="8859" max="8859" width="10.625" style="123" customWidth="1"/>
    <col min="8860" max="8860" width="11.875" style="123" customWidth="1"/>
    <col min="8861" max="8861" width="10.625" style="123" customWidth="1"/>
    <col min="8862" max="8867" width="14.375" style="123" customWidth="1"/>
    <col min="8868" max="8868" width="9.125" style="123" customWidth="1"/>
    <col min="8869" max="8869" width="14.625" style="123" customWidth="1"/>
    <col min="8870" max="8871" width="11.875" style="123" customWidth="1"/>
    <col min="8872" max="8872" width="13.5" style="123" customWidth="1"/>
    <col min="8873" max="8873" width="13.375" style="123" customWidth="1"/>
    <col min="8874" max="8874" width="14.5" style="123" customWidth="1"/>
    <col min="8875" max="8875" width="12.5" style="123" customWidth="1"/>
    <col min="8876" max="8876" width="12" style="123" customWidth="1"/>
    <col min="8877" max="8877" width="11" style="123" customWidth="1"/>
    <col min="8878" max="8878" width="12.625" style="123" customWidth="1"/>
    <col min="8879" max="8879" width="13.125" style="123" customWidth="1"/>
    <col min="8880" max="8880" width="11.375" style="123" customWidth="1"/>
    <col min="8881" max="8881" width="13.375" style="123" customWidth="1"/>
    <col min="8882" max="8882" width="15.375" style="123" customWidth="1"/>
    <col min="8883" max="8883" width="14.5" style="123" customWidth="1"/>
    <col min="8884" max="8884" width="13.125" style="123" customWidth="1"/>
    <col min="8885" max="8885" width="13" style="123" customWidth="1"/>
    <col min="8886" max="8886" width="12.625" style="123" customWidth="1"/>
    <col min="8887" max="8888" width="10.625" style="123" customWidth="1"/>
    <col min="8889" max="8889" width="11.375" style="123" customWidth="1"/>
    <col min="8890" max="8890" width="13.5" style="123" customWidth="1"/>
    <col min="8891" max="9101" width="8.5" style="123"/>
    <col min="9102" max="9102" width="4.125" style="123" customWidth="1"/>
    <col min="9103" max="9103" width="16.125" style="123" customWidth="1"/>
    <col min="9104" max="9104" width="14.375" style="123" customWidth="1"/>
    <col min="9105" max="9105" width="10.375" style="123" customWidth="1"/>
    <col min="9106" max="9106" width="10.625" style="123" customWidth="1"/>
    <col min="9107" max="9107" width="10.5" style="123" customWidth="1"/>
    <col min="9108" max="9108" width="11.625" style="123" customWidth="1"/>
    <col min="9109" max="9109" width="12.5" style="123" customWidth="1"/>
    <col min="9110" max="9110" width="12" style="123" customWidth="1"/>
    <col min="9111" max="9111" width="8.125" style="123" customWidth="1"/>
    <col min="9112" max="9112" width="12.125" style="123" customWidth="1"/>
    <col min="9113" max="9113" width="10.625" style="123" customWidth="1"/>
    <col min="9114" max="9114" width="12" style="123" customWidth="1"/>
    <col min="9115" max="9115" width="10.625" style="123" customWidth="1"/>
    <col min="9116" max="9116" width="11.875" style="123" customWidth="1"/>
    <col min="9117" max="9117" width="10.625" style="123" customWidth="1"/>
    <col min="9118" max="9123" width="14.375" style="123" customWidth="1"/>
    <col min="9124" max="9124" width="9.125" style="123" customWidth="1"/>
    <col min="9125" max="9125" width="14.625" style="123" customWidth="1"/>
    <col min="9126" max="9127" width="11.875" style="123" customWidth="1"/>
    <col min="9128" max="9128" width="13.5" style="123" customWidth="1"/>
    <col min="9129" max="9129" width="13.375" style="123" customWidth="1"/>
    <col min="9130" max="9130" width="14.5" style="123" customWidth="1"/>
    <col min="9131" max="9131" width="12.5" style="123" customWidth="1"/>
    <col min="9132" max="9132" width="12" style="123" customWidth="1"/>
    <col min="9133" max="9133" width="11" style="123" customWidth="1"/>
    <col min="9134" max="9134" width="12.625" style="123" customWidth="1"/>
    <col min="9135" max="9135" width="13.125" style="123" customWidth="1"/>
    <col min="9136" max="9136" width="11.375" style="123" customWidth="1"/>
    <col min="9137" max="9137" width="13.375" style="123" customWidth="1"/>
    <col min="9138" max="9138" width="15.375" style="123" customWidth="1"/>
    <col min="9139" max="9139" width="14.5" style="123" customWidth="1"/>
    <col min="9140" max="9140" width="13.125" style="123" customWidth="1"/>
    <col min="9141" max="9141" width="13" style="123" customWidth="1"/>
    <col min="9142" max="9142" width="12.625" style="123" customWidth="1"/>
    <col min="9143" max="9144" width="10.625" style="123" customWidth="1"/>
    <col min="9145" max="9145" width="11.375" style="123" customWidth="1"/>
    <col min="9146" max="9146" width="13.5" style="123" customWidth="1"/>
    <col min="9147" max="9357" width="8.5" style="123"/>
    <col min="9358" max="9358" width="4.125" style="123" customWidth="1"/>
    <col min="9359" max="9359" width="16.125" style="123" customWidth="1"/>
    <col min="9360" max="9360" width="14.375" style="123" customWidth="1"/>
    <col min="9361" max="9361" width="10.375" style="123" customWidth="1"/>
    <col min="9362" max="9362" width="10.625" style="123" customWidth="1"/>
    <col min="9363" max="9363" width="10.5" style="123" customWidth="1"/>
    <col min="9364" max="9364" width="11.625" style="123" customWidth="1"/>
    <col min="9365" max="9365" width="12.5" style="123" customWidth="1"/>
    <col min="9366" max="9366" width="12" style="123" customWidth="1"/>
    <col min="9367" max="9367" width="8.125" style="123" customWidth="1"/>
    <col min="9368" max="9368" width="12.125" style="123" customWidth="1"/>
    <col min="9369" max="9369" width="10.625" style="123" customWidth="1"/>
    <col min="9370" max="9370" width="12" style="123" customWidth="1"/>
    <col min="9371" max="9371" width="10.625" style="123" customWidth="1"/>
    <col min="9372" max="9372" width="11.875" style="123" customWidth="1"/>
    <col min="9373" max="9373" width="10.625" style="123" customWidth="1"/>
    <col min="9374" max="9379" width="14.375" style="123" customWidth="1"/>
    <col min="9380" max="9380" width="9.125" style="123" customWidth="1"/>
    <col min="9381" max="9381" width="14.625" style="123" customWidth="1"/>
    <col min="9382" max="9383" width="11.875" style="123" customWidth="1"/>
    <col min="9384" max="9384" width="13.5" style="123" customWidth="1"/>
    <col min="9385" max="9385" width="13.375" style="123" customWidth="1"/>
    <col min="9386" max="9386" width="14.5" style="123" customWidth="1"/>
    <col min="9387" max="9387" width="12.5" style="123" customWidth="1"/>
    <col min="9388" max="9388" width="12" style="123" customWidth="1"/>
    <col min="9389" max="9389" width="11" style="123" customWidth="1"/>
    <col min="9390" max="9390" width="12.625" style="123" customWidth="1"/>
    <col min="9391" max="9391" width="13.125" style="123" customWidth="1"/>
    <col min="9392" max="9392" width="11.375" style="123" customWidth="1"/>
    <col min="9393" max="9393" width="13.375" style="123" customWidth="1"/>
    <col min="9394" max="9394" width="15.375" style="123" customWidth="1"/>
    <col min="9395" max="9395" width="14.5" style="123" customWidth="1"/>
    <col min="9396" max="9396" width="13.125" style="123" customWidth="1"/>
    <col min="9397" max="9397" width="13" style="123" customWidth="1"/>
    <col min="9398" max="9398" width="12.625" style="123" customWidth="1"/>
    <col min="9399" max="9400" width="10.625" style="123" customWidth="1"/>
    <col min="9401" max="9401" width="11.375" style="123" customWidth="1"/>
    <col min="9402" max="9402" width="13.5" style="123" customWidth="1"/>
    <col min="9403" max="9613" width="8.5" style="123"/>
    <col min="9614" max="9614" width="4.125" style="123" customWidth="1"/>
    <col min="9615" max="9615" width="16.125" style="123" customWidth="1"/>
    <col min="9616" max="9616" width="14.375" style="123" customWidth="1"/>
    <col min="9617" max="9617" width="10.375" style="123" customWidth="1"/>
    <col min="9618" max="9618" width="10.625" style="123" customWidth="1"/>
    <col min="9619" max="9619" width="10.5" style="123" customWidth="1"/>
    <col min="9620" max="9620" width="11.625" style="123" customWidth="1"/>
    <col min="9621" max="9621" width="12.5" style="123" customWidth="1"/>
    <col min="9622" max="9622" width="12" style="123" customWidth="1"/>
    <col min="9623" max="9623" width="8.125" style="123" customWidth="1"/>
    <col min="9624" max="9624" width="12.125" style="123" customWidth="1"/>
    <col min="9625" max="9625" width="10.625" style="123" customWidth="1"/>
    <col min="9626" max="9626" width="12" style="123" customWidth="1"/>
    <col min="9627" max="9627" width="10.625" style="123" customWidth="1"/>
    <col min="9628" max="9628" width="11.875" style="123" customWidth="1"/>
    <col min="9629" max="9629" width="10.625" style="123" customWidth="1"/>
    <col min="9630" max="9635" width="14.375" style="123" customWidth="1"/>
    <col min="9636" max="9636" width="9.125" style="123" customWidth="1"/>
    <col min="9637" max="9637" width="14.625" style="123" customWidth="1"/>
    <col min="9638" max="9639" width="11.875" style="123" customWidth="1"/>
    <col min="9640" max="9640" width="13.5" style="123" customWidth="1"/>
    <col min="9641" max="9641" width="13.375" style="123" customWidth="1"/>
    <col min="9642" max="9642" width="14.5" style="123" customWidth="1"/>
    <col min="9643" max="9643" width="12.5" style="123" customWidth="1"/>
    <col min="9644" max="9644" width="12" style="123" customWidth="1"/>
    <col min="9645" max="9645" width="11" style="123" customWidth="1"/>
    <col min="9646" max="9646" width="12.625" style="123" customWidth="1"/>
    <col min="9647" max="9647" width="13.125" style="123" customWidth="1"/>
    <col min="9648" max="9648" width="11.375" style="123" customWidth="1"/>
    <col min="9649" max="9649" width="13.375" style="123" customWidth="1"/>
    <col min="9650" max="9650" width="15.375" style="123" customWidth="1"/>
    <col min="9651" max="9651" width="14.5" style="123" customWidth="1"/>
    <col min="9652" max="9652" width="13.125" style="123" customWidth="1"/>
    <col min="9653" max="9653" width="13" style="123" customWidth="1"/>
    <col min="9654" max="9654" width="12.625" style="123" customWidth="1"/>
    <col min="9655" max="9656" width="10.625" style="123" customWidth="1"/>
    <col min="9657" max="9657" width="11.375" style="123" customWidth="1"/>
    <col min="9658" max="9658" width="13.5" style="123" customWidth="1"/>
    <col min="9659" max="9869" width="8.5" style="123"/>
    <col min="9870" max="9870" width="4.125" style="123" customWidth="1"/>
    <col min="9871" max="9871" width="16.125" style="123" customWidth="1"/>
    <col min="9872" max="9872" width="14.375" style="123" customWidth="1"/>
    <col min="9873" max="9873" width="10.375" style="123" customWidth="1"/>
    <col min="9874" max="9874" width="10.625" style="123" customWidth="1"/>
    <col min="9875" max="9875" width="10.5" style="123" customWidth="1"/>
    <col min="9876" max="9876" width="11.625" style="123" customWidth="1"/>
    <col min="9877" max="9877" width="12.5" style="123" customWidth="1"/>
    <col min="9878" max="9878" width="12" style="123" customWidth="1"/>
    <col min="9879" max="9879" width="8.125" style="123" customWidth="1"/>
    <col min="9880" max="9880" width="12.125" style="123" customWidth="1"/>
    <col min="9881" max="9881" width="10.625" style="123" customWidth="1"/>
    <col min="9882" max="9882" width="12" style="123" customWidth="1"/>
    <col min="9883" max="9883" width="10.625" style="123" customWidth="1"/>
    <col min="9884" max="9884" width="11.875" style="123" customWidth="1"/>
    <col min="9885" max="9885" width="10.625" style="123" customWidth="1"/>
    <col min="9886" max="9891" width="14.375" style="123" customWidth="1"/>
    <col min="9892" max="9892" width="9.125" style="123" customWidth="1"/>
    <col min="9893" max="9893" width="14.625" style="123" customWidth="1"/>
    <col min="9894" max="9895" width="11.875" style="123" customWidth="1"/>
    <col min="9896" max="9896" width="13.5" style="123" customWidth="1"/>
    <col min="9897" max="9897" width="13.375" style="123" customWidth="1"/>
    <col min="9898" max="9898" width="14.5" style="123" customWidth="1"/>
    <col min="9899" max="9899" width="12.5" style="123" customWidth="1"/>
    <col min="9900" max="9900" width="12" style="123" customWidth="1"/>
    <col min="9901" max="9901" width="11" style="123" customWidth="1"/>
    <col min="9902" max="9902" width="12.625" style="123" customWidth="1"/>
    <col min="9903" max="9903" width="13.125" style="123" customWidth="1"/>
    <col min="9904" max="9904" width="11.375" style="123" customWidth="1"/>
    <col min="9905" max="9905" width="13.375" style="123" customWidth="1"/>
    <col min="9906" max="9906" width="15.375" style="123" customWidth="1"/>
    <col min="9907" max="9907" width="14.5" style="123" customWidth="1"/>
    <col min="9908" max="9908" width="13.125" style="123" customWidth="1"/>
    <col min="9909" max="9909" width="13" style="123" customWidth="1"/>
    <col min="9910" max="9910" width="12.625" style="123" customWidth="1"/>
    <col min="9911" max="9912" width="10.625" style="123" customWidth="1"/>
    <col min="9913" max="9913" width="11.375" style="123" customWidth="1"/>
    <col min="9914" max="9914" width="13.5" style="123" customWidth="1"/>
    <col min="9915" max="10125" width="8.5" style="123"/>
    <col min="10126" max="10126" width="4.125" style="123" customWidth="1"/>
    <col min="10127" max="10127" width="16.125" style="123" customWidth="1"/>
    <col min="10128" max="10128" width="14.375" style="123" customWidth="1"/>
    <col min="10129" max="10129" width="10.375" style="123" customWidth="1"/>
    <col min="10130" max="10130" width="10.625" style="123" customWidth="1"/>
    <col min="10131" max="10131" width="10.5" style="123" customWidth="1"/>
    <col min="10132" max="10132" width="11.625" style="123" customWidth="1"/>
    <col min="10133" max="10133" width="12.5" style="123" customWidth="1"/>
    <col min="10134" max="10134" width="12" style="123" customWidth="1"/>
    <col min="10135" max="10135" width="8.125" style="123" customWidth="1"/>
    <col min="10136" max="10136" width="12.125" style="123" customWidth="1"/>
    <col min="10137" max="10137" width="10.625" style="123" customWidth="1"/>
    <col min="10138" max="10138" width="12" style="123" customWidth="1"/>
    <col min="10139" max="10139" width="10.625" style="123" customWidth="1"/>
    <col min="10140" max="10140" width="11.875" style="123" customWidth="1"/>
    <col min="10141" max="10141" width="10.625" style="123" customWidth="1"/>
    <col min="10142" max="10147" width="14.375" style="123" customWidth="1"/>
    <col min="10148" max="10148" width="9.125" style="123" customWidth="1"/>
    <col min="10149" max="10149" width="14.625" style="123" customWidth="1"/>
    <col min="10150" max="10151" width="11.875" style="123" customWidth="1"/>
    <col min="10152" max="10152" width="13.5" style="123" customWidth="1"/>
    <col min="10153" max="10153" width="13.375" style="123" customWidth="1"/>
    <col min="10154" max="10154" width="14.5" style="123" customWidth="1"/>
    <col min="10155" max="10155" width="12.5" style="123" customWidth="1"/>
    <col min="10156" max="10156" width="12" style="123" customWidth="1"/>
    <col min="10157" max="10157" width="11" style="123" customWidth="1"/>
    <col min="10158" max="10158" width="12.625" style="123" customWidth="1"/>
    <col min="10159" max="10159" width="13.125" style="123" customWidth="1"/>
    <col min="10160" max="10160" width="11.375" style="123" customWidth="1"/>
    <col min="10161" max="10161" width="13.375" style="123" customWidth="1"/>
    <col min="10162" max="10162" width="15.375" style="123" customWidth="1"/>
    <col min="10163" max="10163" width="14.5" style="123" customWidth="1"/>
    <col min="10164" max="10164" width="13.125" style="123" customWidth="1"/>
    <col min="10165" max="10165" width="13" style="123" customWidth="1"/>
    <col min="10166" max="10166" width="12.625" style="123" customWidth="1"/>
    <col min="10167" max="10168" width="10.625" style="123" customWidth="1"/>
    <col min="10169" max="10169" width="11.375" style="123" customWidth="1"/>
    <col min="10170" max="10170" width="13.5" style="123" customWidth="1"/>
    <col min="10171" max="10381" width="8.5" style="123"/>
    <col min="10382" max="10382" width="4.125" style="123" customWidth="1"/>
    <col min="10383" max="10383" width="16.125" style="123" customWidth="1"/>
    <col min="10384" max="10384" width="14.375" style="123" customWidth="1"/>
    <col min="10385" max="10385" width="10.375" style="123" customWidth="1"/>
    <col min="10386" max="10386" width="10.625" style="123" customWidth="1"/>
    <col min="10387" max="10387" width="10.5" style="123" customWidth="1"/>
    <col min="10388" max="10388" width="11.625" style="123" customWidth="1"/>
    <col min="10389" max="10389" width="12.5" style="123" customWidth="1"/>
    <col min="10390" max="10390" width="12" style="123" customWidth="1"/>
    <col min="10391" max="10391" width="8.125" style="123" customWidth="1"/>
    <col min="10392" max="10392" width="12.125" style="123" customWidth="1"/>
    <col min="10393" max="10393" width="10.625" style="123" customWidth="1"/>
    <col min="10394" max="10394" width="12" style="123" customWidth="1"/>
    <col min="10395" max="10395" width="10.625" style="123" customWidth="1"/>
    <col min="10396" max="10396" width="11.875" style="123" customWidth="1"/>
    <col min="10397" max="10397" width="10.625" style="123" customWidth="1"/>
    <col min="10398" max="10403" width="14.375" style="123" customWidth="1"/>
    <col min="10404" max="10404" width="9.125" style="123" customWidth="1"/>
    <col min="10405" max="10405" width="14.625" style="123" customWidth="1"/>
    <col min="10406" max="10407" width="11.875" style="123" customWidth="1"/>
    <col min="10408" max="10408" width="13.5" style="123" customWidth="1"/>
    <col min="10409" max="10409" width="13.375" style="123" customWidth="1"/>
    <col min="10410" max="10410" width="14.5" style="123" customWidth="1"/>
    <col min="10411" max="10411" width="12.5" style="123" customWidth="1"/>
    <col min="10412" max="10412" width="12" style="123" customWidth="1"/>
    <col min="10413" max="10413" width="11" style="123" customWidth="1"/>
    <col min="10414" max="10414" width="12.625" style="123" customWidth="1"/>
    <col min="10415" max="10415" width="13.125" style="123" customWidth="1"/>
    <col min="10416" max="10416" width="11.375" style="123" customWidth="1"/>
    <col min="10417" max="10417" width="13.375" style="123" customWidth="1"/>
    <col min="10418" max="10418" width="15.375" style="123" customWidth="1"/>
    <col min="10419" max="10419" width="14.5" style="123" customWidth="1"/>
    <col min="10420" max="10420" width="13.125" style="123" customWidth="1"/>
    <col min="10421" max="10421" width="13" style="123" customWidth="1"/>
    <col min="10422" max="10422" width="12.625" style="123" customWidth="1"/>
    <col min="10423" max="10424" width="10.625" style="123" customWidth="1"/>
    <col min="10425" max="10425" width="11.375" style="123" customWidth="1"/>
    <col min="10426" max="10426" width="13.5" style="123" customWidth="1"/>
    <col min="10427" max="10637" width="8.5" style="123"/>
    <col min="10638" max="10638" width="4.125" style="123" customWidth="1"/>
    <col min="10639" max="10639" width="16.125" style="123" customWidth="1"/>
    <col min="10640" max="10640" width="14.375" style="123" customWidth="1"/>
    <col min="10641" max="10641" width="10.375" style="123" customWidth="1"/>
    <col min="10642" max="10642" width="10.625" style="123" customWidth="1"/>
    <col min="10643" max="10643" width="10.5" style="123" customWidth="1"/>
    <col min="10644" max="10644" width="11.625" style="123" customWidth="1"/>
    <col min="10645" max="10645" width="12.5" style="123" customWidth="1"/>
    <col min="10646" max="10646" width="12" style="123" customWidth="1"/>
    <col min="10647" max="10647" width="8.125" style="123" customWidth="1"/>
    <col min="10648" max="10648" width="12.125" style="123" customWidth="1"/>
    <col min="10649" max="10649" width="10.625" style="123" customWidth="1"/>
    <col min="10650" max="10650" width="12" style="123" customWidth="1"/>
    <col min="10651" max="10651" width="10.625" style="123" customWidth="1"/>
    <col min="10652" max="10652" width="11.875" style="123" customWidth="1"/>
    <col min="10653" max="10653" width="10.625" style="123" customWidth="1"/>
    <col min="10654" max="10659" width="14.375" style="123" customWidth="1"/>
    <col min="10660" max="10660" width="9.125" style="123" customWidth="1"/>
    <col min="10661" max="10661" width="14.625" style="123" customWidth="1"/>
    <col min="10662" max="10663" width="11.875" style="123" customWidth="1"/>
    <col min="10664" max="10664" width="13.5" style="123" customWidth="1"/>
    <col min="10665" max="10665" width="13.375" style="123" customWidth="1"/>
    <col min="10666" max="10666" width="14.5" style="123" customWidth="1"/>
    <col min="10667" max="10667" width="12.5" style="123" customWidth="1"/>
    <col min="10668" max="10668" width="12" style="123" customWidth="1"/>
    <col min="10669" max="10669" width="11" style="123" customWidth="1"/>
    <col min="10670" max="10670" width="12.625" style="123" customWidth="1"/>
    <col min="10671" max="10671" width="13.125" style="123" customWidth="1"/>
    <col min="10672" max="10672" width="11.375" style="123" customWidth="1"/>
    <col min="10673" max="10673" width="13.375" style="123" customWidth="1"/>
    <col min="10674" max="10674" width="15.375" style="123" customWidth="1"/>
    <col min="10675" max="10675" width="14.5" style="123" customWidth="1"/>
    <col min="10676" max="10676" width="13.125" style="123" customWidth="1"/>
    <col min="10677" max="10677" width="13" style="123" customWidth="1"/>
    <col min="10678" max="10678" width="12.625" style="123" customWidth="1"/>
    <col min="10679" max="10680" width="10.625" style="123" customWidth="1"/>
    <col min="10681" max="10681" width="11.375" style="123" customWidth="1"/>
    <col min="10682" max="10682" width="13.5" style="123" customWidth="1"/>
    <col min="10683" max="10893" width="8.5" style="123"/>
    <col min="10894" max="10894" width="4.125" style="123" customWidth="1"/>
    <col min="10895" max="10895" width="16.125" style="123" customWidth="1"/>
    <col min="10896" max="10896" width="14.375" style="123" customWidth="1"/>
    <col min="10897" max="10897" width="10.375" style="123" customWidth="1"/>
    <col min="10898" max="10898" width="10.625" style="123" customWidth="1"/>
    <col min="10899" max="10899" width="10.5" style="123" customWidth="1"/>
    <col min="10900" max="10900" width="11.625" style="123" customWidth="1"/>
    <col min="10901" max="10901" width="12.5" style="123" customWidth="1"/>
    <col min="10902" max="10902" width="12" style="123" customWidth="1"/>
    <col min="10903" max="10903" width="8.125" style="123" customWidth="1"/>
    <col min="10904" max="10904" width="12.125" style="123" customWidth="1"/>
    <col min="10905" max="10905" width="10.625" style="123" customWidth="1"/>
    <col min="10906" max="10906" width="12" style="123" customWidth="1"/>
    <col min="10907" max="10907" width="10.625" style="123" customWidth="1"/>
    <col min="10908" max="10908" width="11.875" style="123" customWidth="1"/>
    <col min="10909" max="10909" width="10.625" style="123" customWidth="1"/>
    <col min="10910" max="10915" width="14.375" style="123" customWidth="1"/>
    <col min="10916" max="10916" width="9.125" style="123" customWidth="1"/>
    <col min="10917" max="10917" width="14.625" style="123" customWidth="1"/>
    <col min="10918" max="10919" width="11.875" style="123" customWidth="1"/>
    <col min="10920" max="10920" width="13.5" style="123" customWidth="1"/>
    <col min="10921" max="10921" width="13.375" style="123" customWidth="1"/>
    <col min="10922" max="10922" width="14.5" style="123" customWidth="1"/>
    <col min="10923" max="10923" width="12.5" style="123" customWidth="1"/>
    <col min="10924" max="10924" width="12" style="123" customWidth="1"/>
    <col min="10925" max="10925" width="11" style="123" customWidth="1"/>
    <col min="10926" max="10926" width="12.625" style="123" customWidth="1"/>
    <col min="10927" max="10927" width="13.125" style="123" customWidth="1"/>
    <col min="10928" max="10928" width="11.375" style="123" customWidth="1"/>
    <col min="10929" max="10929" width="13.375" style="123" customWidth="1"/>
    <col min="10930" max="10930" width="15.375" style="123" customWidth="1"/>
    <col min="10931" max="10931" width="14.5" style="123" customWidth="1"/>
    <col min="10932" max="10932" width="13.125" style="123" customWidth="1"/>
    <col min="10933" max="10933" width="13" style="123" customWidth="1"/>
    <col min="10934" max="10934" width="12.625" style="123" customWidth="1"/>
    <col min="10935" max="10936" width="10.625" style="123" customWidth="1"/>
    <col min="10937" max="10937" width="11.375" style="123" customWidth="1"/>
    <col min="10938" max="10938" width="13.5" style="123" customWidth="1"/>
    <col min="10939" max="11149" width="8.5" style="123"/>
    <col min="11150" max="11150" width="4.125" style="123" customWidth="1"/>
    <col min="11151" max="11151" width="16.125" style="123" customWidth="1"/>
    <col min="11152" max="11152" width="14.375" style="123" customWidth="1"/>
    <col min="11153" max="11153" width="10.375" style="123" customWidth="1"/>
    <col min="11154" max="11154" width="10.625" style="123" customWidth="1"/>
    <col min="11155" max="11155" width="10.5" style="123" customWidth="1"/>
    <col min="11156" max="11156" width="11.625" style="123" customWidth="1"/>
    <col min="11157" max="11157" width="12.5" style="123" customWidth="1"/>
    <col min="11158" max="11158" width="12" style="123" customWidth="1"/>
    <col min="11159" max="11159" width="8.125" style="123" customWidth="1"/>
    <col min="11160" max="11160" width="12.125" style="123" customWidth="1"/>
    <col min="11161" max="11161" width="10.625" style="123" customWidth="1"/>
    <col min="11162" max="11162" width="12" style="123" customWidth="1"/>
    <col min="11163" max="11163" width="10.625" style="123" customWidth="1"/>
    <col min="11164" max="11164" width="11.875" style="123" customWidth="1"/>
    <col min="11165" max="11165" width="10.625" style="123" customWidth="1"/>
    <col min="11166" max="11171" width="14.375" style="123" customWidth="1"/>
    <col min="11172" max="11172" width="9.125" style="123" customWidth="1"/>
    <col min="11173" max="11173" width="14.625" style="123" customWidth="1"/>
    <col min="11174" max="11175" width="11.875" style="123" customWidth="1"/>
    <col min="11176" max="11176" width="13.5" style="123" customWidth="1"/>
    <col min="11177" max="11177" width="13.375" style="123" customWidth="1"/>
    <col min="11178" max="11178" width="14.5" style="123" customWidth="1"/>
    <col min="11179" max="11179" width="12.5" style="123" customWidth="1"/>
    <col min="11180" max="11180" width="12" style="123" customWidth="1"/>
    <col min="11181" max="11181" width="11" style="123" customWidth="1"/>
    <col min="11182" max="11182" width="12.625" style="123" customWidth="1"/>
    <col min="11183" max="11183" width="13.125" style="123" customWidth="1"/>
    <col min="11184" max="11184" width="11.375" style="123" customWidth="1"/>
    <col min="11185" max="11185" width="13.375" style="123" customWidth="1"/>
    <col min="11186" max="11186" width="15.375" style="123" customWidth="1"/>
    <col min="11187" max="11187" width="14.5" style="123" customWidth="1"/>
    <col min="11188" max="11188" width="13.125" style="123" customWidth="1"/>
    <col min="11189" max="11189" width="13" style="123" customWidth="1"/>
    <col min="11190" max="11190" width="12.625" style="123" customWidth="1"/>
    <col min="11191" max="11192" width="10.625" style="123" customWidth="1"/>
    <col min="11193" max="11193" width="11.375" style="123" customWidth="1"/>
    <col min="11194" max="11194" width="13.5" style="123" customWidth="1"/>
    <col min="11195" max="11405" width="8.5" style="123"/>
    <col min="11406" max="11406" width="4.125" style="123" customWidth="1"/>
    <col min="11407" max="11407" width="16.125" style="123" customWidth="1"/>
    <col min="11408" max="11408" width="14.375" style="123" customWidth="1"/>
    <col min="11409" max="11409" width="10.375" style="123" customWidth="1"/>
    <col min="11410" max="11410" width="10.625" style="123" customWidth="1"/>
    <col min="11411" max="11411" width="10.5" style="123" customWidth="1"/>
    <col min="11412" max="11412" width="11.625" style="123" customWidth="1"/>
    <col min="11413" max="11413" width="12.5" style="123" customWidth="1"/>
    <col min="11414" max="11414" width="12" style="123" customWidth="1"/>
    <col min="11415" max="11415" width="8.125" style="123" customWidth="1"/>
    <col min="11416" max="11416" width="12.125" style="123" customWidth="1"/>
    <col min="11417" max="11417" width="10.625" style="123" customWidth="1"/>
    <col min="11418" max="11418" width="12" style="123" customWidth="1"/>
    <col min="11419" max="11419" width="10.625" style="123" customWidth="1"/>
    <col min="11420" max="11420" width="11.875" style="123" customWidth="1"/>
    <col min="11421" max="11421" width="10.625" style="123" customWidth="1"/>
    <col min="11422" max="11427" width="14.375" style="123" customWidth="1"/>
    <col min="11428" max="11428" width="9.125" style="123" customWidth="1"/>
    <col min="11429" max="11429" width="14.625" style="123" customWidth="1"/>
    <col min="11430" max="11431" width="11.875" style="123" customWidth="1"/>
    <col min="11432" max="11432" width="13.5" style="123" customWidth="1"/>
    <col min="11433" max="11433" width="13.375" style="123" customWidth="1"/>
    <col min="11434" max="11434" width="14.5" style="123" customWidth="1"/>
    <col min="11435" max="11435" width="12.5" style="123" customWidth="1"/>
    <col min="11436" max="11436" width="12" style="123" customWidth="1"/>
    <col min="11437" max="11437" width="11" style="123" customWidth="1"/>
    <col min="11438" max="11438" width="12.625" style="123" customWidth="1"/>
    <col min="11439" max="11439" width="13.125" style="123" customWidth="1"/>
    <col min="11440" max="11440" width="11.375" style="123" customWidth="1"/>
    <col min="11441" max="11441" width="13.375" style="123" customWidth="1"/>
    <col min="11442" max="11442" width="15.375" style="123" customWidth="1"/>
    <col min="11443" max="11443" width="14.5" style="123" customWidth="1"/>
    <col min="11444" max="11444" width="13.125" style="123" customWidth="1"/>
    <col min="11445" max="11445" width="13" style="123" customWidth="1"/>
    <col min="11446" max="11446" width="12.625" style="123" customWidth="1"/>
    <col min="11447" max="11448" width="10.625" style="123" customWidth="1"/>
    <col min="11449" max="11449" width="11.375" style="123" customWidth="1"/>
    <col min="11450" max="11450" width="13.5" style="123" customWidth="1"/>
    <col min="11451" max="11661" width="8.5" style="123"/>
    <col min="11662" max="11662" width="4.125" style="123" customWidth="1"/>
    <col min="11663" max="11663" width="16.125" style="123" customWidth="1"/>
    <col min="11664" max="11664" width="14.375" style="123" customWidth="1"/>
    <col min="11665" max="11665" width="10.375" style="123" customWidth="1"/>
    <col min="11666" max="11666" width="10.625" style="123" customWidth="1"/>
    <col min="11667" max="11667" width="10.5" style="123" customWidth="1"/>
    <col min="11668" max="11668" width="11.625" style="123" customWidth="1"/>
    <col min="11669" max="11669" width="12.5" style="123" customWidth="1"/>
    <col min="11670" max="11670" width="12" style="123" customWidth="1"/>
    <col min="11671" max="11671" width="8.125" style="123" customWidth="1"/>
    <col min="11672" max="11672" width="12.125" style="123" customWidth="1"/>
    <col min="11673" max="11673" width="10.625" style="123" customWidth="1"/>
    <col min="11674" max="11674" width="12" style="123" customWidth="1"/>
    <col min="11675" max="11675" width="10.625" style="123" customWidth="1"/>
    <col min="11676" max="11676" width="11.875" style="123" customWidth="1"/>
    <col min="11677" max="11677" width="10.625" style="123" customWidth="1"/>
    <col min="11678" max="11683" width="14.375" style="123" customWidth="1"/>
    <col min="11684" max="11684" width="9.125" style="123" customWidth="1"/>
    <col min="11685" max="11685" width="14.625" style="123" customWidth="1"/>
    <col min="11686" max="11687" width="11.875" style="123" customWidth="1"/>
    <col min="11688" max="11688" width="13.5" style="123" customWidth="1"/>
    <col min="11689" max="11689" width="13.375" style="123" customWidth="1"/>
    <col min="11690" max="11690" width="14.5" style="123" customWidth="1"/>
    <col min="11691" max="11691" width="12.5" style="123" customWidth="1"/>
    <col min="11692" max="11692" width="12" style="123" customWidth="1"/>
    <col min="11693" max="11693" width="11" style="123" customWidth="1"/>
    <col min="11694" max="11694" width="12.625" style="123" customWidth="1"/>
    <col min="11695" max="11695" width="13.125" style="123" customWidth="1"/>
    <col min="11696" max="11696" width="11.375" style="123" customWidth="1"/>
    <col min="11697" max="11697" width="13.375" style="123" customWidth="1"/>
    <col min="11698" max="11698" width="15.375" style="123" customWidth="1"/>
    <col min="11699" max="11699" width="14.5" style="123" customWidth="1"/>
    <col min="11700" max="11700" width="13.125" style="123" customWidth="1"/>
    <col min="11701" max="11701" width="13" style="123" customWidth="1"/>
    <col min="11702" max="11702" width="12.625" style="123" customWidth="1"/>
    <col min="11703" max="11704" width="10.625" style="123" customWidth="1"/>
    <col min="11705" max="11705" width="11.375" style="123" customWidth="1"/>
    <col min="11706" max="11706" width="13.5" style="123" customWidth="1"/>
    <col min="11707" max="11917" width="8.5" style="123"/>
    <col min="11918" max="11918" width="4.125" style="123" customWidth="1"/>
    <col min="11919" max="11919" width="16.125" style="123" customWidth="1"/>
    <col min="11920" max="11920" width="14.375" style="123" customWidth="1"/>
    <col min="11921" max="11921" width="10.375" style="123" customWidth="1"/>
    <col min="11922" max="11922" width="10.625" style="123" customWidth="1"/>
    <col min="11923" max="11923" width="10.5" style="123" customWidth="1"/>
    <col min="11924" max="11924" width="11.625" style="123" customWidth="1"/>
    <col min="11925" max="11925" width="12.5" style="123" customWidth="1"/>
    <col min="11926" max="11926" width="12" style="123" customWidth="1"/>
    <col min="11927" max="11927" width="8.125" style="123" customWidth="1"/>
    <col min="11928" max="11928" width="12.125" style="123" customWidth="1"/>
    <col min="11929" max="11929" width="10.625" style="123" customWidth="1"/>
    <col min="11930" max="11930" width="12" style="123" customWidth="1"/>
    <col min="11931" max="11931" width="10.625" style="123" customWidth="1"/>
    <col min="11932" max="11932" width="11.875" style="123" customWidth="1"/>
    <col min="11933" max="11933" width="10.625" style="123" customWidth="1"/>
    <col min="11934" max="11939" width="14.375" style="123" customWidth="1"/>
    <col min="11940" max="11940" width="9.125" style="123" customWidth="1"/>
    <col min="11941" max="11941" width="14.625" style="123" customWidth="1"/>
    <col min="11942" max="11943" width="11.875" style="123" customWidth="1"/>
    <col min="11944" max="11944" width="13.5" style="123" customWidth="1"/>
    <col min="11945" max="11945" width="13.375" style="123" customWidth="1"/>
    <col min="11946" max="11946" width="14.5" style="123" customWidth="1"/>
    <col min="11947" max="11947" width="12.5" style="123" customWidth="1"/>
    <col min="11948" max="11948" width="12" style="123" customWidth="1"/>
    <col min="11949" max="11949" width="11" style="123" customWidth="1"/>
    <col min="11950" max="11950" width="12.625" style="123" customWidth="1"/>
    <col min="11951" max="11951" width="13.125" style="123" customWidth="1"/>
    <col min="11952" max="11952" width="11.375" style="123" customWidth="1"/>
    <col min="11953" max="11953" width="13.375" style="123" customWidth="1"/>
    <col min="11954" max="11954" width="15.375" style="123" customWidth="1"/>
    <col min="11955" max="11955" width="14.5" style="123" customWidth="1"/>
    <col min="11956" max="11956" width="13.125" style="123" customWidth="1"/>
    <col min="11957" max="11957" width="13" style="123" customWidth="1"/>
    <col min="11958" max="11958" width="12.625" style="123" customWidth="1"/>
    <col min="11959" max="11960" width="10.625" style="123" customWidth="1"/>
    <col min="11961" max="11961" width="11.375" style="123" customWidth="1"/>
    <col min="11962" max="11962" width="13.5" style="123" customWidth="1"/>
    <col min="11963" max="12173" width="8.5" style="123"/>
    <col min="12174" max="12174" width="4.125" style="123" customWidth="1"/>
    <col min="12175" max="12175" width="16.125" style="123" customWidth="1"/>
    <col min="12176" max="12176" width="14.375" style="123" customWidth="1"/>
    <col min="12177" max="12177" width="10.375" style="123" customWidth="1"/>
    <col min="12178" max="12178" width="10.625" style="123" customWidth="1"/>
    <col min="12179" max="12179" width="10.5" style="123" customWidth="1"/>
    <col min="12180" max="12180" width="11.625" style="123" customWidth="1"/>
    <col min="12181" max="12181" width="12.5" style="123" customWidth="1"/>
    <col min="12182" max="12182" width="12" style="123" customWidth="1"/>
    <col min="12183" max="12183" width="8.125" style="123" customWidth="1"/>
    <col min="12184" max="12184" width="12.125" style="123" customWidth="1"/>
    <col min="12185" max="12185" width="10.625" style="123" customWidth="1"/>
    <col min="12186" max="12186" width="12" style="123" customWidth="1"/>
    <col min="12187" max="12187" width="10.625" style="123" customWidth="1"/>
    <col min="12188" max="12188" width="11.875" style="123" customWidth="1"/>
    <col min="12189" max="12189" width="10.625" style="123" customWidth="1"/>
    <col min="12190" max="12195" width="14.375" style="123" customWidth="1"/>
    <col min="12196" max="12196" width="9.125" style="123" customWidth="1"/>
    <col min="12197" max="12197" width="14.625" style="123" customWidth="1"/>
    <col min="12198" max="12199" width="11.875" style="123" customWidth="1"/>
    <col min="12200" max="12200" width="13.5" style="123" customWidth="1"/>
    <col min="12201" max="12201" width="13.375" style="123" customWidth="1"/>
    <col min="12202" max="12202" width="14.5" style="123" customWidth="1"/>
    <col min="12203" max="12203" width="12.5" style="123" customWidth="1"/>
    <col min="12204" max="12204" width="12" style="123" customWidth="1"/>
    <col min="12205" max="12205" width="11" style="123" customWidth="1"/>
    <col min="12206" max="12206" width="12.625" style="123" customWidth="1"/>
    <col min="12207" max="12207" width="13.125" style="123" customWidth="1"/>
    <col min="12208" max="12208" width="11.375" style="123" customWidth="1"/>
    <col min="12209" max="12209" width="13.375" style="123" customWidth="1"/>
    <col min="12210" max="12210" width="15.375" style="123" customWidth="1"/>
    <col min="12211" max="12211" width="14.5" style="123" customWidth="1"/>
    <col min="12212" max="12212" width="13.125" style="123" customWidth="1"/>
    <col min="12213" max="12213" width="13" style="123" customWidth="1"/>
    <col min="12214" max="12214" width="12.625" style="123" customWidth="1"/>
    <col min="12215" max="12216" width="10.625" style="123" customWidth="1"/>
    <col min="12217" max="12217" width="11.375" style="123" customWidth="1"/>
    <col min="12218" max="12218" width="13.5" style="123" customWidth="1"/>
    <col min="12219" max="12429" width="8.5" style="123"/>
    <col min="12430" max="12430" width="4.125" style="123" customWidth="1"/>
    <col min="12431" max="12431" width="16.125" style="123" customWidth="1"/>
    <col min="12432" max="12432" width="14.375" style="123" customWidth="1"/>
    <col min="12433" max="12433" width="10.375" style="123" customWidth="1"/>
    <col min="12434" max="12434" width="10.625" style="123" customWidth="1"/>
    <col min="12435" max="12435" width="10.5" style="123" customWidth="1"/>
    <col min="12436" max="12436" width="11.625" style="123" customWidth="1"/>
    <col min="12437" max="12437" width="12.5" style="123" customWidth="1"/>
    <col min="12438" max="12438" width="12" style="123" customWidth="1"/>
    <col min="12439" max="12439" width="8.125" style="123" customWidth="1"/>
    <col min="12440" max="12440" width="12.125" style="123" customWidth="1"/>
    <col min="12441" max="12441" width="10.625" style="123" customWidth="1"/>
    <col min="12442" max="12442" width="12" style="123" customWidth="1"/>
    <col min="12443" max="12443" width="10.625" style="123" customWidth="1"/>
    <col min="12444" max="12444" width="11.875" style="123" customWidth="1"/>
    <col min="12445" max="12445" width="10.625" style="123" customWidth="1"/>
    <col min="12446" max="12451" width="14.375" style="123" customWidth="1"/>
    <col min="12452" max="12452" width="9.125" style="123" customWidth="1"/>
    <col min="12453" max="12453" width="14.625" style="123" customWidth="1"/>
    <col min="12454" max="12455" width="11.875" style="123" customWidth="1"/>
    <col min="12456" max="12456" width="13.5" style="123" customWidth="1"/>
    <col min="12457" max="12457" width="13.375" style="123" customWidth="1"/>
    <col min="12458" max="12458" width="14.5" style="123" customWidth="1"/>
    <col min="12459" max="12459" width="12.5" style="123" customWidth="1"/>
    <col min="12460" max="12460" width="12" style="123" customWidth="1"/>
    <col min="12461" max="12461" width="11" style="123" customWidth="1"/>
    <col min="12462" max="12462" width="12.625" style="123" customWidth="1"/>
    <col min="12463" max="12463" width="13.125" style="123" customWidth="1"/>
    <col min="12464" max="12464" width="11.375" style="123" customWidth="1"/>
    <col min="12465" max="12465" width="13.375" style="123" customWidth="1"/>
    <col min="12466" max="12466" width="15.375" style="123" customWidth="1"/>
    <col min="12467" max="12467" width="14.5" style="123" customWidth="1"/>
    <col min="12468" max="12468" width="13.125" style="123" customWidth="1"/>
    <col min="12469" max="12469" width="13" style="123" customWidth="1"/>
    <col min="12470" max="12470" width="12.625" style="123" customWidth="1"/>
    <col min="12471" max="12472" width="10.625" style="123" customWidth="1"/>
    <col min="12473" max="12473" width="11.375" style="123" customWidth="1"/>
    <col min="12474" max="12474" width="13.5" style="123" customWidth="1"/>
    <col min="12475" max="12685" width="8.5" style="123"/>
    <col min="12686" max="12686" width="4.125" style="123" customWidth="1"/>
    <col min="12687" max="12687" width="16.125" style="123" customWidth="1"/>
    <col min="12688" max="12688" width="14.375" style="123" customWidth="1"/>
    <col min="12689" max="12689" width="10.375" style="123" customWidth="1"/>
    <col min="12690" max="12690" width="10.625" style="123" customWidth="1"/>
    <col min="12691" max="12691" width="10.5" style="123" customWidth="1"/>
    <col min="12692" max="12692" width="11.625" style="123" customWidth="1"/>
    <col min="12693" max="12693" width="12.5" style="123" customWidth="1"/>
    <col min="12694" max="12694" width="12" style="123" customWidth="1"/>
    <col min="12695" max="12695" width="8.125" style="123" customWidth="1"/>
    <col min="12696" max="12696" width="12.125" style="123" customWidth="1"/>
    <col min="12697" max="12697" width="10.625" style="123" customWidth="1"/>
    <col min="12698" max="12698" width="12" style="123" customWidth="1"/>
    <col min="12699" max="12699" width="10.625" style="123" customWidth="1"/>
    <col min="12700" max="12700" width="11.875" style="123" customWidth="1"/>
    <col min="12701" max="12701" width="10.625" style="123" customWidth="1"/>
    <col min="12702" max="12707" width="14.375" style="123" customWidth="1"/>
    <col min="12708" max="12708" width="9.125" style="123" customWidth="1"/>
    <col min="12709" max="12709" width="14.625" style="123" customWidth="1"/>
    <col min="12710" max="12711" width="11.875" style="123" customWidth="1"/>
    <col min="12712" max="12712" width="13.5" style="123" customWidth="1"/>
    <col min="12713" max="12713" width="13.375" style="123" customWidth="1"/>
    <col min="12714" max="12714" width="14.5" style="123" customWidth="1"/>
    <col min="12715" max="12715" width="12.5" style="123" customWidth="1"/>
    <col min="12716" max="12716" width="12" style="123" customWidth="1"/>
    <col min="12717" max="12717" width="11" style="123" customWidth="1"/>
    <col min="12718" max="12718" width="12.625" style="123" customWidth="1"/>
    <col min="12719" max="12719" width="13.125" style="123" customWidth="1"/>
    <col min="12720" max="12720" width="11.375" style="123" customWidth="1"/>
    <col min="12721" max="12721" width="13.375" style="123" customWidth="1"/>
    <col min="12722" max="12722" width="15.375" style="123" customWidth="1"/>
    <col min="12723" max="12723" width="14.5" style="123" customWidth="1"/>
    <col min="12724" max="12724" width="13.125" style="123" customWidth="1"/>
    <col min="12725" max="12725" width="13" style="123" customWidth="1"/>
    <col min="12726" max="12726" width="12.625" style="123" customWidth="1"/>
    <col min="12727" max="12728" width="10.625" style="123" customWidth="1"/>
    <col min="12729" max="12729" width="11.375" style="123" customWidth="1"/>
    <col min="12730" max="12730" width="13.5" style="123" customWidth="1"/>
    <col min="12731" max="12941" width="8.5" style="123"/>
    <col min="12942" max="12942" width="4.125" style="123" customWidth="1"/>
    <col min="12943" max="12943" width="16.125" style="123" customWidth="1"/>
    <col min="12944" max="12944" width="14.375" style="123" customWidth="1"/>
    <col min="12945" max="12945" width="10.375" style="123" customWidth="1"/>
    <col min="12946" max="12946" width="10.625" style="123" customWidth="1"/>
    <col min="12947" max="12947" width="10.5" style="123" customWidth="1"/>
    <col min="12948" max="12948" width="11.625" style="123" customWidth="1"/>
    <col min="12949" max="12949" width="12.5" style="123" customWidth="1"/>
    <col min="12950" max="12950" width="12" style="123" customWidth="1"/>
    <col min="12951" max="12951" width="8.125" style="123" customWidth="1"/>
    <col min="12952" max="12952" width="12.125" style="123" customWidth="1"/>
    <col min="12953" max="12953" width="10.625" style="123" customWidth="1"/>
    <col min="12954" max="12954" width="12" style="123" customWidth="1"/>
    <col min="12955" max="12955" width="10.625" style="123" customWidth="1"/>
    <col min="12956" max="12956" width="11.875" style="123" customWidth="1"/>
    <col min="12957" max="12957" width="10.625" style="123" customWidth="1"/>
    <col min="12958" max="12963" width="14.375" style="123" customWidth="1"/>
    <col min="12964" max="12964" width="9.125" style="123" customWidth="1"/>
    <col min="12965" max="12965" width="14.625" style="123" customWidth="1"/>
    <col min="12966" max="12967" width="11.875" style="123" customWidth="1"/>
    <col min="12968" max="12968" width="13.5" style="123" customWidth="1"/>
    <col min="12969" max="12969" width="13.375" style="123" customWidth="1"/>
    <col min="12970" max="12970" width="14.5" style="123" customWidth="1"/>
    <col min="12971" max="12971" width="12.5" style="123" customWidth="1"/>
    <col min="12972" max="12972" width="12" style="123" customWidth="1"/>
    <col min="12973" max="12973" width="11" style="123" customWidth="1"/>
    <col min="12974" max="12974" width="12.625" style="123" customWidth="1"/>
    <col min="12975" max="12975" width="13.125" style="123" customWidth="1"/>
    <col min="12976" max="12976" width="11.375" style="123" customWidth="1"/>
    <col min="12977" max="12977" width="13.375" style="123" customWidth="1"/>
    <col min="12978" max="12978" width="15.375" style="123" customWidth="1"/>
    <col min="12979" max="12979" width="14.5" style="123" customWidth="1"/>
    <col min="12980" max="12980" width="13.125" style="123" customWidth="1"/>
    <col min="12981" max="12981" width="13" style="123" customWidth="1"/>
    <col min="12982" max="12982" width="12.625" style="123" customWidth="1"/>
    <col min="12983" max="12984" width="10.625" style="123" customWidth="1"/>
    <col min="12985" max="12985" width="11.375" style="123" customWidth="1"/>
    <col min="12986" max="12986" width="13.5" style="123" customWidth="1"/>
    <col min="12987" max="13197" width="8.5" style="123"/>
    <col min="13198" max="13198" width="4.125" style="123" customWidth="1"/>
    <col min="13199" max="13199" width="16.125" style="123" customWidth="1"/>
    <col min="13200" max="13200" width="14.375" style="123" customWidth="1"/>
    <col min="13201" max="13201" width="10.375" style="123" customWidth="1"/>
    <col min="13202" max="13202" width="10.625" style="123" customWidth="1"/>
    <col min="13203" max="13203" width="10.5" style="123" customWidth="1"/>
    <col min="13204" max="13204" width="11.625" style="123" customWidth="1"/>
    <col min="13205" max="13205" width="12.5" style="123" customWidth="1"/>
    <col min="13206" max="13206" width="12" style="123" customWidth="1"/>
    <col min="13207" max="13207" width="8.125" style="123" customWidth="1"/>
    <col min="13208" max="13208" width="12.125" style="123" customWidth="1"/>
    <col min="13209" max="13209" width="10.625" style="123" customWidth="1"/>
    <col min="13210" max="13210" width="12" style="123" customWidth="1"/>
    <col min="13211" max="13211" width="10.625" style="123" customWidth="1"/>
    <col min="13212" max="13212" width="11.875" style="123" customWidth="1"/>
    <col min="13213" max="13213" width="10.625" style="123" customWidth="1"/>
    <col min="13214" max="13219" width="14.375" style="123" customWidth="1"/>
    <col min="13220" max="13220" width="9.125" style="123" customWidth="1"/>
    <col min="13221" max="13221" width="14.625" style="123" customWidth="1"/>
    <col min="13222" max="13223" width="11.875" style="123" customWidth="1"/>
    <col min="13224" max="13224" width="13.5" style="123" customWidth="1"/>
    <col min="13225" max="13225" width="13.375" style="123" customWidth="1"/>
    <col min="13226" max="13226" width="14.5" style="123" customWidth="1"/>
    <col min="13227" max="13227" width="12.5" style="123" customWidth="1"/>
    <col min="13228" max="13228" width="12" style="123" customWidth="1"/>
    <col min="13229" max="13229" width="11" style="123" customWidth="1"/>
    <col min="13230" max="13230" width="12.625" style="123" customWidth="1"/>
    <col min="13231" max="13231" width="13.125" style="123" customWidth="1"/>
    <col min="13232" max="13232" width="11.375" style="123" customWidth="1"/>
    <col min="13233" max="13233" width="13.375" style="123" customWidth="1"/>
    <col min="13234" max="13234" width="15.375" style="123" customWidth="1"/>
    <col min="13235" max="13235" width="14.5" style="123" customWidth="1"/>
    <col min="13236" max="13236" width="13.125" style="123" customWidth="1"/>
    <col min="13237" max="13237" width="13" style="123" customWidth="1"/>
    <col min="13238" max="13238" width="12.625" style="123" customWidth="1"/>
    <col min="13239" max="13240" width="10.625" style="123" customWidth="1"/>
    <col min="13241" max="13241" width="11.375" style="123" customWidth="1"/>
    <col min="13242" max="13242" width="13.5" style="123" customWidth="1"/>
    <col min="13243" max="13453" width="8.5" style="123"/>
    <col min="13454" max="13454" width="4.125" style="123" customWidth="1"/>
    <col min="13455" max="13455" width="16.125" style="123" customWidth="1"/>
    <col min="13456" max="13456" width="14.375" style="123" customWidth="1"/>
    <col min="13457" max="13457" width="10.375" style="123" customWidth="1"/>
    <col min="13458" max="13458" width="10.625" style="123" customWidth="1"/>
    <col min="13459" max="13459" width="10.5" style="123" customWidth="1"/>
    <col min="13460" max="13460" width="11.625" style="123" customWidth="1"/>
    <col min="13461" max="13461" width="12.5" style="123" customWidth="1"/>
    <col min="13462" max="13462" width="12" style="123" customWidth="1"/>
    <col min="13463" max="13463" width="8.125" style="123" customWidth="1"/>
    <col min="13464" max="13464" width="12.125" style="123" customWidth="1"/>
    <col min="13465" max="13465" width="10.625" style="123" customWidth="1"/>
    <col min="13466" max="13466" width="12" style="123" customWidth="1"/>
    <col min="13467" max="13467" width="10.625" style="123" customWidth="1"/>
    <col min="13468" max="13468" width="11.875" style="123" customWidth="1"/>
    <col min="13469" max="13469" width="10.625" style="123" customWidth="1"/>
    <col min="13470" max="13475" width="14.375" style="123" customWidth="1"/>
    <col min="13476" max="13476" width="9.125" style="123" customWidth="1"/>
    <col min="13477" max="13477" width="14.625" style="123" customWidth="1"/>
    <col min="13478" max="13479" width="11.875" style="123" customWidth="1"/>
    <col min="13480" max="13480" width="13.5" style="123" customWidth="1"/>
    <col min="13481" max="13481" width="13.375" style="123" customWidth="1"/>
    <col min="13482" max="13482" width="14.5" style="123" customWidth="1"/>
    <col min="13483" max="13483" width="12.5" style="123" customWidth="1"/>
    <col min="13484" max="13484" width="12" style="123" customWidth="1"/>
    <col min="13485" max="13485" width="11" style="123" customWidth="1"/>
    <col min="13486" max="13486" width="12.625" style="123" customWidth="1"/>
    <col min="13487" max="13487" width="13.125" style="123" customWidth="1"/>
    <col min="13488" max="13488" width="11.375" style="123" customWidth="1"/>
    <col min="13489" max="13489" width="13.375" style="123" customWidth="1"/>
    <col min="13490" max="13490" width="15.375" style="123" customWidth="1"/>
    <col min="13491" max="13491" width="14.5" style="123" customWidth="1"/>
    <col min="13492" max="13492" width="13.125" style="123" customWidth="1"/>
    <col min="13493" max="13493" width="13" style="123" customWidth="1"/>
    <col min="13494" max="13494" width="12.625" style="123" customWidth="1"/>
    <col min="13495" max="13496" width="10.625" style="123" customWidth="1"/>
    <col min="13497" max="13497" width="11.375" style="123" customWidth="1"/>
    <col min="13498" max="13498" width="13.5" style="123" customWidth="1"/>
    <col min="13499" max="13709" width="8.5" style="123"/>
    <col min="13710" max="13710" width="4.125" style="123" customWidth="1"/>
    <col min="13711" max="13711" width="16.125" style="123" customWidth="1"/>
    <col min="13712" max="13712" width="14.375" style="123" customWidth="1"/>
    <col min="13713" max="13713" width="10.375" style="123" customWidth="1"/>
    <col min="13714" max="13714" width="10.625" style="123" customWidth="1"/>
    <col min="13715" max="13715" width="10.5" style="123" customWidth="1"/>
    <col min="13716" max="13716" width="11.625" style="123" customWidth="1"/>
    <col min="13717" max="13717" width="12.5" style="123" customWidth="1"/>
    <col min="13718" max="13718" width="12" style="123" customWidth="1"/>
    <col min="13719" max="13719" width="8.125" style="123" customWidth="1"/>
    <col min="13720" max="13720" width="12.125" style="123" customWidth="1"/>
    <col min="13721" max="13721" width="10.625" style="123" customWidth="1"/>
    <col min="13722" max="13722" width="12" style="123" customWidth="1"/>
    <col min="13723" max="13723" width="10.625" style="123" customWidth="1"/>
    <col min="13724" max="13724" width="11.875" style="123" customWidth="1"/>
    <col min="13725" max="13725" width="10.625" style="123" customWidth="1"/>
    <col min="13726" max="13731" width="14.375" style="123" customWidth="1"/>
    <col min="13732" max="13732" width="9.125" style="123" customWidth="1"/>
    <col min="13733" max="13733" width="14.625" style="123" customWidth="1"/>
    <col min="13734" max="13735" width="11.875" style="123" customWidth="1"/>
    <col min="13736" max="13736" width="13.5" style="123" customWidth="1"/>
    <col min="13737" max="13737" width="13.375" style="123" customWidth="1"/>
    <col min="13738" max="13738" width="14.5" style="123" customWidth="1"/>
    <col min="13739" max="13739" width="12.5" style="123" customWidth="1"/>
    <col min="13740" max="13740" width="12" style="123" customWidth="1"/>
    <col min="13741" max="13741" width="11" style="123" customWidth="1"/>
    <col min="13742" max="13742" width="12.625" style="123" customWidth="1"/>
    <col min="13743" max="13743" width="13.125" style="123" customWidth="1"/>
    <col min="13744" max="13744" width="11.375" style="123" customWidth="1"/>
    <col min="13745" max="13745" width="13.375" style="123" customWidth="1"/>
    <col min="13746" max="13746" width="15.375" style="123" customWidth="1"/>
    <col min="13747" max="13747" width="14.5" style="123" customWidth="1"/>
    <col min="13748" max="13748" width="13.125" style="123" customWidth="1"/>
    <col min="13749" max="13749" width="13" style="123" customWidth="1"/>
    <col min="13750" max="13750" width="12.625" style="123" customWidth="1"/>
    <col min="13751" max="13752" width="10.625" style="123" customWidth="1"/>
    <col min="13753" max="13753" width="11.375" style="123" customWidth="1"/>
    <col min="13754" max="13754" width="13.5" style="123" customWidth="1"/>
    <col min="13755" max="13965" width="8.5" style="123"/>
    <col min="13966" max="13966" width="4.125" style="123" customWidth="1"/>
    <col min="13967" max="13967" width="16.125" style="123" customWidth="1"/>
    <col min="13968" max="13968" width="14.375" style="123" customWidth="1"/>
    <col min="13969" max="13969" width="10.375" style="123" customWidth="1"/>
    <col min="13970" max="13970" width="10.625" style="123" customWidth="1"/>
    <col min="13971" max="13971" width="10.5" style="123" customWidth="1"/>
    <col min="13972" max="13972" width="11.625" style="123" customWidth="1"/>
    <col min="13973" max="13973" width="12.5" style="123" customWidth="1"/>
    <col min="13974" max="13974" width="12" style="123" customWidth="1"/>
    <col min="13975" max="13975" width="8.125" style="123" customWidth="1"/>
    <col min="13976" max="13976" width="12.125" style="123" customWidth="1"/>
    <col min="13977" max="13977" width="10.625" style="123" customWidth="1"/>
    <col min="13978" max="13978" width="12" style="123" customWidth="1"/>
    <col min="13979" max="13979" width="10.625" style="123" customWidth="1"/>
    <col min="13980" max="13980" width="11.875" style="123" customWidth="1"/>
    <col min="13981" max="13981" width="10.625" style="123" customWidth="1"/>
    <col min="13982" max="13987" width="14.375" style="123" customWidth="1"/>
    <col min="13988" max="13988" width="9.125" style="123" customWidth="1"/>
    <col min="13989" max="13989" width="14.625" style="123" customWidth="1"/>
    <col min="13990" max="13991" width="11.875" style="123" customWidth="1"/>
    <col min="13992" max="13992" width="13.5" style="123" customWidth="1"/>
    <col min="13993" max="13993" width="13.375" style="123" customWidth="1"/>
    <col min="13994" max="13994" width="14.5" style="123" customWidth="1"/>
    <col min="13995" max="13995" width="12.5" style="123" customWidth="1"/>
    <col min="13996" max="13996" width="12" style="123" customWidth="1"/>
    <col min="13997" max="13997" width="11" style="123" customWidth="1"/>
    <col min="13998" max="13998" width="12.625" style="123" customWidth="1"/>
    <col min="13999" max="13999" width="13.125" style="123" customWidth="1"/>
    <col min="14000" max="14000" width="11.375" style="123" customWidth="1"/>
    <col min="14001" max="14001" width="13.375" style="123" customWidth="1"/>
    <col min="14002" max="14002" width="15.375" style="123" customWidth="1"/>
    <col min="14003" max="14003" width="14.5" style="123" customWidth="1"/>
    <col min="14004" max="14004" width="13.125" style="123" customWidth="1"/>
    <col min="14005" max="14005" width="13" style="123" customWidth="1"/>
    <col min="14006" max="14006" width="12.625" style="123" customWidth="1"/>
    <col min="14007" max="14008" width="10.625" style="123" customWidth="1"/>
    <col min="14009" max="14009" width="11.375" style="123" customWidth="1"/>
    <col min="14010" max="14010" width="13.5" style="123" customWidth="1"/>
    <col min="14011" max="14221" width="8.5" style="123"/>
    <col min="14222" max="14222" width="4.125" style="123" customWidth="1"/>
    <col min="14223" max="14223" width="16.125" style="123" customWidth="1"/>
    <col min="14224" max="14224" width="14.375" style="123" customWidth="1"/>
    <col min="14225" max="14225" width="10.375" style="123" customWidth="1"/>
    <col min="14226" max="14226" width="10.625" style="123" customWidth="1"/>
    <col min="14227" max="14227" width="10.5" style="123" customWidth="1"/>
    <col min="14228" max="14228" width="11.625" style="123" customWidth="1"/>
    <col min="14229" max="14229" width="12.5" style="123" customWidth="1"/>
    <col min="14230" max="14230" width="12" style="123" customWidth="1"/>
    <col min="14231" max="14231" width="8.125" style="123" customWidth="1"/>
    <col min="14232" max="14232" width="12.125" style="123" customWidth="1"/>
    <col min="14233" max="14233" width="10.625" style="123" customWidth="1"/>
    <col min="14234" max="14234" width="12" style="123" customWidth="1"/>
    <col min="14235" max="14235" width="10.625" style="123" customWidth="1"/>
    <col min="14236" max="14236" width="11.875" style="123" customWidth="1"/>
    <col min="14237" max="14237" width="10.625" style="123" customWidth="1"/>
    <col min="14238" max="14243" width="14.375" style="123" customWidth="1"/>
    <col min="14244" max="14244" width="9.125" style="123" customWidth="1"/>
    <col min="14245" max="14245" width="14.625" style="123" customWidth="1"/>
    <col min="14246" max="14247" width="11.875" style="123" customWidth="1"/>
    <col min="14248" max="14248" width="13.5" style="123" customWidth="1"/>
    <col min="14249" max="14249" width="13.375" style="123" customWidth="1"/>
    <col min="14250" max="14250" width="14.5" style="123" customWidth="1"/>
    <col min="14251" max="14251" width="12.5" style="123" customWidth="1"/>
    <col min="14252" max="14252" width="12" style="123" customWidth="1"/>
    <col min="14253" max="14253" width="11" style="123" customWidth="1"/>
    <col min="14254" max="14254" width="12.625" style="123" customWidth="1"/>
    <col min="14255" max="14255" width="13.125" style="123" customWidth="1"/>
    <col min="14256" max="14256" width="11.375" style="123" customWidth="1"/>
    <col min="14257" max="14257" width="13.375" style="123" customWidth="1"/>
    <col min="14258" max="14258" width="15.375" style="123" customWidth="1"/>
    <col min="14259" max="14259" width="14.5" style="123" customWidth="1"/>
    <col min="14260" max="14260" width="13.125" style="123" customWidth="1"/>
    <col min="14261" max="14261" width="13" style="123" customWidth="1"/>
    <col min="14262" max="14262" width="12.625" style="123" customWidth="1"/>
    <col min="14263" max="14264" width="10.625" style="123" customWidth="1"/>
    <col min="14265" max="14265" width="11.375" style="123" customWidth="1"/>
    <col min="14266" max="14266" width="13.5" style="123" customWidth="1"/>
    <col min="14267" max="14477" width="8.5" style="123"/>
    <col min="14478" max="14478" width="4.125" style="123" customWidth="1"/>
    <col min="14479" max="14479" width="16.125" style="123" customWidth="1"/>
    <col min="14480" max="14480" width="14.375" style="123" customWidth="1"/>
    <col min="14481" max="14481" width="10.375" style="123" customWidth="1"/>
    <col min="14482" max="14482" width="10.625" style="123" customWidth="1"/>
    <col min="14483" max="14483" width="10.5" style="123" customWidth="1"/>
    <col min="14484" max="14484" width="11.625" style="123" customWidth="1"/>
    <col min="14485" max="14485" width="12.5" style="123" customWidth="1"/>
    <col min="14486" max="14486" width="12" style="123" customWidth="1"/>
    <col min="14487" max="14487" width="8.125" style="123" customWidth="1"/>
    <col min="14488" max="14488" width="12.125" style="123" customWidth="1"/>
    <col min="14489" max="14489" width="10.625" style="123" customWidth="1"/>
    <col min="14490" max="14490" width="12" style="123" customWidth="1"/>
    <col min="14491" max="14491" width="10.625" style="123" customWidth="1"/>
    <col min="14492" max="14492" width="11.875" style="123" customWidth="1"/>
    <col min="14493" max="14493" width="10.625" style="123" customWidth="1"/>
    <col min="14494" max="14499" width="14.375" style="123" customWidth="1"/>
    <col min="14500" max="14500" width="9.125" style="123" customWidth="1"/>
    <col min="14501" max="14501" width="14.625" style="123" customWidth="1"/>
    <col min="14502" max="14503" width="11.875" style="123" customWidth="1"/>
    <col min="14504" max="14504" width="13.5" style="123" customWidth="1"/>
    <col min="14505" max="14505" width="13.375" style="123" customWidth="1"/>
    <col min="14506" max="14506" width="14.5" style="123" customWidth="1"/>
    <col min="14507" max="14507" width="12.5" style="123" customWidth="1"/>
    <col min="14508" max="14508" width="12" style="123" customWidth="1"/>
    <col min="14509" max="14509" width="11" style="123" customWidth="1"/>
    <col min="14510" max="14510" width="12.625" style="123" customWidth="1"/>
    <col min="14511" max="14511" width="13.125" style="123" customWidth="1"/>
    <col min="14512" max="14512" width="11.375" style="123" customWidth="1"/>
    <col min="14513" max="14513" width="13.375" style="123" customWidth="1"/>
    <col min="14514" max="14514" width="15.375" style="123" customWidth="1"/>
    <col min="14515" max="14515" width="14.5" style="123" customWidth="1"/>
    <col min="14516" max="14516" width="13.125" style="123" customWidth="1"/>
    <col min="14517" max="14517" width="13" style="123" customWidth="1"/>
    <col min="14518" max="14518" width="12.625" style="123" customWidth="1"/>
    <col min="14519" max="14520" width="10.625" style="123" customWidth="1"/>
    <col min="14521" max="14521" width="11.375" style="123" customWidth="1"/>
    <col min="14522" max="14522" width="13.5" style="123" customWidth="1"/>
    <col min="14523" max="14733" width="8.5" style="123"/>
    <col min="14734" max="14734" width="4.125" style="123" customWidth="1"/>
    <col min="14735" max="14735" width="16.125" style="123" customWidth="1"/>
    <col min="14736" max="14736" width="14.375" style="123" customWidth="1"/>
    <col min="14737" max="14737" width="10.375" style="123" customWidth="1"/>
    <col min="14738" max="14738" width="10.625" style="123" customWidth="1"/>
    <col min="14739" max="14739" width="10.5" style="123" customWidth="1"/>
    <col min="14740" max="14740" width="11.625" style="123" customWidth="1"/>
    <col min="14741" max="14741" width="12.5" style="123" customWidth="1"/>
    <col min="14742" max="14742" width="12" style="123" customWidth="1"/>
    <col min="14743" max="14743" width="8.125" style="123" customWidth="1"/>
    <col min="14744" max="14744" width="12.125" style="123" customWidth="1"/>
    <col min="14745" max="14745" width="10.625" style="123" customWidth="1"/>
    <col min="14746" max="14746" width="12" style="123" customWidth="1"/>
    <col min="14747" max="14747" width="10.625" style="123" customWidth="1"/>
    <col min="14748" max="14748" width="11.875" style="123" customWidth="1"/>
    <col min="14749" max="14749" width="10.625" style="123" customWidth="1"/>
    <col min="14750" max="14755" width="14.375" style="123" customWidth="1"/>
    <col min="14756" max="14756" width="9.125" style="123" customWidth="1"/>
    <col min="14757" max="14757" width="14.625" style="123" customWidth="1"/>
    <col min="14758" max="14759" width="11.875" style="123" customWidth="1"/>
    <col min="14760" max="14760" width="13.5" style="123" customWidth="1"/>
    <col min="14761" max="14761" width="13.375" style="123" customWidth="1"/>
    <col min="14762" max="14762" width="14.5" style="123" customWidth="1"/>
    <col min="14763" max="14763" width="12.5" style="123" customWidth="1"/>
    <col min="14764" max="14764" width="12" style="123" customWidth="1"/>
    <col min="14765" max="14765" width="11" style="123" customWidth="1"/>
    <col min="14766" max="14766" width="12.625" style="123" customWidth="1"/>
    <col min="14767" max="14767" width="13.125" style="123" customWidth="1"/>
    <col min="14768" max="14768" width="11.375" style="123" customWidth="1"/>
    <col min="14769" max="14769" width="13.375" style="123" customWidth="1"/>
    <col min="14770" max="14770" width="15.375" style="123" customWidth="1"/>
    <col min="14771" max="14771" width="14.5" style="123" customWidth="1"/>
    <col min="14772" max="14772" width="13.125" style="123" customWidth="1"/>
    <col min="14773" max="14773" width="13" style="123" customWidth="1"/>
    <col min="14774" max="14774" width="12.625" style="123" customWidth="1"/>
    <col min="14775" max="14776" width="10.625" style="123" customWidth="1"/>
    <col min="14777" max="14777" width="11.375" style="123" customWidth="1"/>
    <col min="14778" max="14778" width="13.5" style="123" customWidth="1"/>
    <col min="14779" max="14989" width="8.5" style="123"/>
    <col min="14990" max="14990" width="4.125" style="123" customWidth="1"/>
    <col min="14991" max="14991" width="16.125" style="123" customWidth="1"/>
    <col min="14992" max="14992" width="14.375" style="123" customWidth="1"/>
    <col min="14993" max="14993" width="10.375" style="123" customWidth="1"/>
    <col min="14994" max="14994" width="10.625" style="123" customWidth="1"/>
    <col min="14995" max="14995" width="10.5" style="123" customWidth="1"/>
    <col min="14996" max="14996" width="11.625" style="123" customWidth="1"/>
    <col min="14997" max="14997" width="12.5" style="123" customWidth="1"/>
    <col min="14998" max="14998" width="12" style="123" customWidth="1"/>
    <col min="14999" max="14999" width="8.125" style="123" customWidth="1"/>
    <col min="15000" max="15000" width="12.125" style="123" customWidth="1"/>
    <col min="15001" max="15001" width="10.625" style="123" customWidth="1"/>
    <col min="15002" max="15002" width="12" style="123" customWidth="1"/>
    <col min="15003" max="15003" width="10.625" style="123" customWidth="1"/>
    <col min="15004" max="15004" width="11.875" style="123" customWidth="1"/>
    <col min="15005" max="15005" width="10.625" style="123" customWidth="1"/>
    <col min="15006" max="15011" width="14.375" style="123" customWidth="1"/>
    <col min="15012" max="15012" width="9.125" style="123" customWidth="1"/>
    <col min="15013" max="15013" width="14.625" style="123" customWidth="1"/>
    <col min="15014" max="15015" width="11.875" style="123" customWidth="1"/>
    <col min="15016" max="15016" width="13.5" style="123" customWidth="1"/>
    <col min="15017" max="15017" width="13.375" style="123" customWidth="1"/>
    <col min="15018" max="15018" width="14.5" style="123" customWidth="1"/>
    <col min="15019" max="15019" width="12.5" style="123" customWidth="1"/>
    <col min="15020" max="15020" width="12" style="123" customWidth="1"/>
    <col min="15021" max="15021" width="11" style="123" customWidth="1"/>
    <col min="15022" max="15022" width="12.625" style="123" customWidth="1"/>
    <col min="15023" max="15023" width="13.125" style="123" customWidth="1"/>
    <col min="15024" max="15024" width="11.375" style="123" customWidth="1"/>
    <col min="15025" max="15025" width="13.375" style="123" customWidth="1"/>
    <col min="15026" max="15026" width="15.375" style="123" customWidth="1"/>
    <col min="15027" max="15027" width="14.5" style="123" customWidth="1"/>
    <col min="15028" max="15028" width="13.125" style="123" customWidth="1"/>
    <col min="15029" max="15029" width="13" style="123" customWidth="1"/>
    <col min="15030" max="15030" width="12.625" style="123" customWidth="1"/>
    <col min="15031" max="15032" width="10.625" style="123" customWidth="1"/>
    <col min="15033" max="15033" width="11.375" style="123" customWidth="1"/>
    <col min="15034" max="15034" width="13.5" style="123" customWidth="1"/>
    <col min="15035" max="15245" width="8.5" style="123"/>
    <col min="15246" max="15246" width="4.125" style="123" customWidth="1"/>
    <col min="15247" max="15247" width="16.125" style="123" customWidth="1"/>
    <col min="15248" max="15248" width="14.375" style="123" customWidth="1"/>
    <col min="15249" max="15249" width="10.375" style="123" customWidth="1"/>
    <col min="15250" max="15250" width="10.625" style="123" customWidth="1"/>
    <col min="15251" max="15251" width="10.5" style="123" customWidth="1"/>
    <col min="15252" max="15252" width="11.625" style="123" customWidth="1"/>
    <col min="15253" max="15253" width="12.5" style="123" customWidth="1"/>
    <col min="15254" max="15254" width="12" style="123" customWidth="1"/>
    <col min="15255" max="15255" width="8.125" style="123" customWidth="1"/>
    <col min="15256" max="15256" width="12.125" style="123" customWidth="1"/>
    <col min="15257" max="15257" width="10.625" style="123" customWidth="1"/>
    <col min="15258" max="15258" width="12" style="123" customWidth="1"/>
    <col min="15259" max="15259" width="10.625" style="123" customWidth="1"/>
    <col min="15260" max="15260" width="11.875" style="123" customWidth="1"/>
    <col min="15261" max="15261" width="10.625" style="123" customWidth="1"/>
    <col min="15262" max="15267" width="14.375" style="123" customWidth="1"/>
    <col min="15268" max="15268" width="9.125" style="123" customWidth="1"/>
    <col min="15269" max="15269" width="14.625" style="123" customWidth="1"/>
    <col min="15270" max="15271" width="11.875" style="123" customWidth="1"/>
    <col min="15272" max="15272" width="13.5" style="123" customWidth="1"/>
    <col min="15273" max="15273" width="13.375" style="123" customWidth="1"/>
    <col min="15274" max="15274" width="14.5" style="123" customWidth="1"/>
    <col min="15275" max="15275" width="12.5" style="123" customWidth="1"/>
    <col min="15276" max="15276" width="12" style="123" customWidth="1"/>
    <col min="15277" max="15277" width="11" style="123" customWidth="1"/>
    <col min="15278" max="15278" width="12.625" style="123" customWidth="1"/>
    <col min="15279" max="15279" width="13.125" style="123" customWidth="1"/>
    <col min="15280" max="15280" width="11.375" style="123" customWidth="1"/>
    <col min="15281" max="15281" width="13.375" style="123" customWidth="1"/>
    <col min="15282" max="15282" width="15.375" style="123" customWidth="1"/>
    <col min="15283" max="15283" width="14.5" style="123" customWidth="1"/>
    <col min="15284" max="15284" width="13.125" style="123" customWidth="1"/>
    <col min="15285" max="15285" width="13" style="123" customWidth="1"/>
    <col min="15286" max="15286" width="12.625" style="123" customWidth="1"/>
    <col min="15287" max="15288" width="10.625" style="123" customWidth="1"/>
    <col min="15289" max="15289" width="11.375" style="123" customWidth="1"/>
    <col min="15290" max="15290" width="13.5" style="123" customWidth="1"/>
    <col min="15291" max="15501" width="8.5" style="123"/>
    <col min="15502" max="15502" width="4.125" style="123" customWidth="1"/>
    <col min="15503" max="15503" width="16.125" style="123" customWidth="1"/>
    <col min="15504" max="15504" width="14.375" style="123" customWidth="1"/>
    <col min="15505" max="15505" width="10.375" style="123" customWidth="1"/>
    <col min="15506" max="15506" width="10.625" style="123" customWidth="1"/>
    <col min="15507" max="15507" width="10.5" style="123" customWidth="1"/>
    <col min="15508" max="15508" width="11.625" style="123" customWidth="1"/>
    <col min="15509" max="15509" width="12.5" style="123" customWidth="1"/>
    <col min="15510" max="15510" width="12" style="123" customWidth="1"/>
    <col min="15511" max="15511" width="8.125" style="123" customWidth="1"/>
    <col min="15512" max="15512" width="12.125" style="123" customWidth="1"/>
    <col min="15513" max="15513" width="10.625" style="123" customWidth="1"/>
    <col min="15514" max="15514" width="12" style="123" customWidth="1"/>
    <col min="15515" max="15515" width="10.625" style="123" customWidth="1"/>
    <col min="15516" max="15516" width="11.875" style="123" customWidth="1"/>
    <col min="15517" max="15517" width="10.625" style="123" customWidth="1"/>
    <col min="15518" max="15523" width="14.375" style="123" customWidth="1"/>
    <col min="15524" max="15524" width="9.125" style="123" customWidth="1"/>
    <col min="15525" max="15525" width="14.625" style="123" customWidth="1"/>
    <col min="15526" max="15527" width="11.875" style="123" customWidth="1"/>
    <col min="15528" max="15528" width="13.5" style="123" customWidth="1"/>
    <col min="15529" max="15529" width="13.375" style="123" customWidth="1"/>
    <col min="15530" max="15530" width="14.5" style="123" customWidth="1"/>
    <col min="15531" max="15531" width="12.5" style="123" customWidth="1"/>
    <col min="15532" max="15532" width="12" style="123" customWidth="1"/>
    <col min="15533" max="15533" width="11" style="123" customWidth="1"/>
    <col min="15534" max="15534" width="12.625" style="123" customWidth="1"/>
    <col min="15535" max="15535" width="13.125" style="123" customWidth="1"/>
    <col min="15536" max="15536" width="11.375" style="123" customWidth="1"/>
    <col min="15537" max="15537" width="13.375" style="123" customWidth="1"/>
    <col min="15538" max="15538" width="15.375" style="123" customWidth="1"/>
    <col min="15539" max="15539" width="14.5" style="123" customWidth="1"/>
    <col min="15540" max="15540" width="13.125" style="123" customWidth="1"/>
    <col min="15541" max="15541" width="13" style="123" customWidth="1"/>
    <col min="15542" max="15542" width="12.625" style="123" customWidth="1"/>
    <col min="15543" max="15544" width="10.625" style="123" customWidth="1"/>
    <col min="15545" max="15545" width="11.375" style="123" customWidth="1"/>
    <col min="15546" max="15546" width="13.5" style="123" customWidth="1"/>
    <col min="15547" max="15757" width="8.5" style="123"/>
    <col min="15758" max="15758" width="4.125" style="123" customWidth="1"/>
    <col min="15759" max="15759" width="16.125" style="123" customWidth="1"/>
    <col min="15760" max="15760" width="14.375" style="123" customWidth="1"/>
    <col min="15761" max="15761" width="10.375" style="123" customWidth="1"/>
    <col min="15762" max="15762" width="10.625" style="123" customWidth="1"/>
    <col min="15763" max="15763" width="10.5" style="123" customWidth="1"/>
    <col min="15764" max="15764" width="11.625" style="123" customWidth="1"/>
    <col min="15765" max="15765" width="12.5" style="123" customWidth="1"/>
    <col min="15766" max="15766" width="12" style="123" customWidth="1"/>
    <col min="15767" max="15767" width="8.125" style="123" customWidth="1"/>
    <col min="15768" max="15768" width="12.125" style="123" customWidth="1"/>
    <col min="15769" max="15769" width="10.625" style="123" customWidth="1"/>
    <col min="15770" max="15770" width="12" style="123" customWidth="1"/>
    <col min="15771" max="15771" width="10.625" style="123" customWidth="1"/>
    <col min="15772" max="15772" width="11.875" style="123" customWidth="1"/>
    <col min="15773" max="15773" width="10.625" style="123" customWidth="1"/>
    <col min="15774" max="15779" width="14.375" style="123" customWidth="1"/>
    <col min="15780" max="15780" width="9.125" style="123" customWidth="1"/>
    <col min="15781" max="15781" width="14.625" style="123" customWidth="1"/>
    <col min="15782" max="15783" width="11.875" style="123" customWidth="1"/>
    <col min="15784" max="15784" width="13.5" style="123" customWidth="1"/>
    <col min="15785" max="15785" width="13.375" style="123" customWidth="1"/>
    <col min="15786" max="15786" width="14.5" style="123" customWidth="1"/>
    <col min="15787" max="15787" width="12.5" style="123" customWidth="1"/>
    <col min="15788" max="15788" width="12" style="123" customWidth="1"/>
    <col min="15789" max="15789" width="11" style="123" customWidth="1"/>
    <col min="15790" max="15790" width="12.625" style="123" customWidth="1"/>
    <col min="15791" max="15791" width="13.125" style="123" customWidth="1"/>
    <col min="15792" max="15792" width="11.375" style="123" customWidth="1"/>
    <col min="15793" max="15793" width="13.375" style="123" customWidth="1"/>
    <col min="15794" max="15794" width="15.375" style="123" customWidth="1"/>
    <col min="15795" max="15795" width="14.5" style="123" customWidth="1"/>
    <col min="15796" max="15796" width="13.125" style="123" customWidth="1"/>
    <col min="15797" max="15797" width="13" style="123" customWidth="1"/>
    <col min="15798" max="15798" width="12.625" style="123" customWidth="1"/>
    <col min="15799" max="15800" width="10.625" style="123" customWidth="1"/>
    <col min="15801" max="15801" width="11.375" style="123" customWidth="1"/>
    <col min="15802" max="15802" width="13.5" style="123" customWidth="1"/>
    <col min="15803" max="16013" width="8.5" style="123"/>
    <col min="16014" max="16014" width="4.125" style="123" customWidth="1"/>
    <col min="16015" max="16015" width="16.125" style="123" customWidth="1"/>
    <col min="16016" max="16016" width="14.375" style="123" customWidth="1"/>
    <col min="16017" max="16017" width="10.375" style="123" customWidth="1"/>
    <col min="16018" max="16018" width="10.625" style="123" customWidth="1"/>
    <col min="16019" max="16019" width="10.5" style="123" customWidth="1"/>
    <col min="16020" max="16020" width="11.625" style="123" customWidth="1"/>
    <col min="16021" max="16021" width="12.5" style="123" customWidth="1"/>
    <col min="16022" max="16022" width="12" style="123" customWidth="1"/>
    <col min="16023" max="16023" width="8.125" style="123" customWidth="1"/>
    <col min="16024" max="16024" width="12.125" style="123" customWidth="1"/>
    <col min="16025" max="16025" width="10.625" style="123" customWidth="1"/>
    <col min="16026" max="16026" width="12" style="123" customWidth="1"/>
    <col min="16027" max="16027" width="10.625" style="123" customWidth="1"/>
    <col min="16028" max="16028" width="11.875" style="123" customWidth="1"/>
    <col min="16029" max="16029" width="10.625" style="123" customWidth="1"/>
    <col min="16030" max="16035" width="14.375" style="123" customWidth="1"/>
    <col min="16036" max="16036" width="9.125" style="123" customWidth="1"/>
    <col min="16037" max="16037" width="14.625" style="123" customWidth="1"/>
    <col min="16038" max="16039" width="11.875" style="123" customWidth="1"/>
    <col min="16040" max="16040" width="13.5" style="123" customWidth="1"/>
    <col min="16041" max="16041" width="13.375" style="123" customWidth="1"/>
    <col min="16042" max="16042" width="14.5" style="123" customWidth="1"/>
    <col min="16043" max="16043" width="12.5" style="123" customWidth="1"/>
    <col min="16044" max="16044" width="12" style="123" customWidth="1"/>
    <col min="16045" max="16045" width="11" style="123" customWidth="1"/>
    <col min="16046" max="16046" width="12.625" style="123" customWidth="1"/>
    <col min="16047" max="16047" width="13.125" style="123" customWidth="1"/>
    <col min="16048" max="16048" width="11.375" style="123" customWidth="1"/>
    <col min="16049" max="16049" width="13.375" style="123" customWidth="1"/>
    <col min="16050" max="16050" width="15.375" style="123" customWidth="1"/>
    <col min="16051" max="16051" width="14.5" style="123" customWidth="1"/>
    <col min="16052" max="16052" width="13.125" style="123" customWidth="1"/>
    <col min="16053" max="16053" width="13" style="123" customWidth="1"/>
    <col min="16054" max="16054" width="12.625" style="123" customWidth="1"/>
    <col min="16055" max="16056" width="10.625" style="123" customWidth="1"/>
    <col min="16057" max="16057" width="11.375" style="123" customWidth="1"/>
    <col min="16058" max="16058" width="13.5" style="123" customWidth="1"/>
    <col min="16059" max="16384" width="8.5" style="123"/>
  </cols>
  <sheetData>
    <row r="2" spans="1:43" x14ac:dyDescent="0.25">
      <c r="A2" s="122" t="s">
        <v>92</v>
      </c>
    </row>
    <row r="3" spans="1:43" x14ac:dyDescent="0.25">
      <c r="A3" s="124" t="s">
        <v>93</v>
      </c>
    </row>
    <row r="4" spans="1:43" x14ac:dyDescent="0.25">
      <c r="A4" s="124" t="s">
        <v>94</v>
      </c>
    </row>
    <row r="5" spans="1:43" x14ac:dyDescent="0.25">
      <c r="A5" s="124" t="s">
        <v>95</v>
      </c>
    </row>
    <row r="6" spans="1:43" x14ac:dyDescent="0.25">
      <c r="A6" s="124" t="s">
        <v>96</v>
      </c>
    </row>
    <row r="7" spans="1:43" x14ac:dyDescent="0.25">
      <c r="A7" s="124" t="s">
        <v>97</v>
      </c>
    </row>
    <row r="8" spans="1:43" ht="16.5" thickBot="1" x14ac:dyDescent="0.3">
      <c r="A8" s="122" t="s">
        <v>1523</v>
      </c>
    </row>
    <row r="9" spans="1:43" ht="35.25" customHeight="1" thickBot="1" x14ac:dyDescent="0.3">
      <c r="J9" s="755" t="s">
        <v>253</v>
      </c>
      <c r="K9" s="756"/>
      <c r="L9" s="756"/>
      <c r="M9" s="756"/>
    </row>
    <row r="10" spans="1:43" s="127" customFormat="1" ht="39" customHeight="1" thickBot="1" x14ac:dyDescent="0.3">
      <c r="A10" s="763" t="s">
        <v>100</v>
      </c>
      <c r="B10" s="763" t="s">
        <v>101</v>
      </c>
      <c r="C10" s="765" t="s">
        <v>1356</v>
      </c>
      <c r="D10" s="767" t="s">
        <v>103</v>
      </c>
      <c r="E10" s="768"/>
      <c r="F10" s="769"/>
      <c r="G10" s="767" t="s">
        <v>104</v>
      </c>
      <c r="H10" s="768"/>
      <c r="I10" s="768"/>
      <c r="J10" s="770" t="s">
        <v>1357</v>
      </c>
      <c r="K10" s="771"/>
      <c r="L10" s="771"/>
      <c r="M10" s="772"/>
      <c r="N10" s="128" t="s">
        <v>107</v>
      </c>
      <c r="O10" s="128"/>
      <c r="P10" s="128"/>
      <c r="Q10" s="128"/>
      <c r="R10" s="128"/>
      <c r="S10" s="128"/>
      <c r="T10" s="128"/>
      <c r="Z10" s="757" t="s">
        <v>1289</v>
      </c>
      <c r="AA10" s="758"/>
      <c r="AB10" s="269" t="s">
        <v>519</v>
      </c>
      <c r="AC10" s="269" t="s">
        <v>520</v>
      </c>
      <c r="AD10" s="759" t="s">
        <v>1290</v>
      </c>
      <c r="AE10" s="760"/>
      <c r="AF10" s="761" t="s">
        <v>1291</v>
      </c>
    </row>
    <row r="11" spans="1:43" s="127" customFormat="1" ht="45.75" thickBot="1" x14ac:dyDescent="0.3">
      <c r="A11" s="764"/>
      <c r="B11" s="764"/>
      <c r="C11" s="766"/>
      <c r="D11" s="129" t="s">
        <v>108</v>
      </c>
      <c r="E11" s="129" t="s">
        <v>109</v>
      </c>
      <c r="F11" s="129" t="s">
        <v>110</v>
      </c>
      <c r="G11" s="270" t="s">
        <v>108</v>
      </c>
      <c r="H11" s="129" t="s">
        <v>109</v>
      </c>
      <c r="I11" s="270" t="s">
        <v>110</v>
      </c>
      <c r="J11" s="129" t="s">
        <v>108</v>
      </c>
      <c r="K11" s="129" t="s">
        <v>109</v>
      </c>
      <c r="L11" s="129" t="s">
        <v>110</v>
      </c>
      <c r="M11" s="270" t="s">
        <v>111</v>
      </c>
      <c r="N11" s="271" t="s">
        <v>108</v>
      </c>
      <c r="O11" s="271" t="s">
        <v>109</v>
      </c>
      <c r="P11" s="271" t="s">
        <v>110</v>
      </c>
      <c r="Q11" s="272"/>
      <c r="R11" s="271" t="s">
        <v>108</v>
      </c>
      <c r="S11" s="271" t="s">
        <v>109</v>
      </c>
      <c r="T11" s="271" t="s">
        <v>110</v>
      </c>
      <c r="U11" s="272"/>
      <c r="V11" s="272"/>
      <c r="W11" s="273" t="s">
        <v>113</v>
      </c>
      <c r="X11" s="273" t="s">
        <v>114</v>
      </c>
      <c r="Y11" s="273" t="s">
        <v>115</v>
      </c>
      <c r="Z11" s="129" t="s">
        <v>1292</v>
      </c>
      <c r="AA11" s="129" t="s">
        <v>117</v>
      </c>
      <c r="AB11" s="129" t="s">
        <v>118</v>
      </c>
      <c r="AC11" s="270" t="s">
        <v>119</v>
      </c>
      <c r="AD11" s="129" t="s">
        <v>120</v>
      </c>
      <c r="AE11" s="129" t="s">
        <v>117</v>
      </c>
      <c r="AF11" s="762"/>
      <c r="AJ11" s="127">
        <f>(4+3+2)/3</f>
        <v>3</v>
      </c>
    </row>
    <row r="12" spans="1:43" ht="16.5" thickBot="1" x14ac:dyDescent="0.3">
      <c r="A12" s="138" t="s">
        <v>121</v>
      </c>
      <c r="B12" s="139" t="s">
        <v>121</v>
      </c>
      <c r="C12" s="140">
        <v>76223</v>
      </c>
      <c r="D12" s="274">
        <v>0.53767247337967539</v>
      </c>
      <c r="E12" s="274">
        <v>0.20421013423946158</v>
      </c>
      <c r="F12" s="274">
        <v>0.25811739238086279</v>
      </c>
      <c r="G12" s="142">
        <f t="shared" ref="G12:G81" si="0">C12*D12</f>
        <v>40983.008938419</v>
      </c>
      <c r="H12" s="142">
        <f t="shared" ref="H12:H81" si="1">C12*E12</f>
        <v>15565.509062134479</v>
      </c>
      <c r="I12" s="142">
        <f t="shared" ref="I12:I81" si="2">C12*F12</f>
        <v>19674.481999446503</v>
      </c>
      <c r="J12" s="275">
        <f>G12*41.7%</f>
        <v>17089.914727320724</v>
      </c>
      <c r="K12" s="275">
        <f t="shared" ref="K12:L12" si="3">H12*41.7%</f>
        <v>6490.8172789100781</v>
      </c>
      <c r="L12" s="275">
        <f t="shared" si="3"/>
        <v>8204.2589937691919</v>
      </c>
      <c r="M12" s="276">
        <f t="shared" ref="M12:M45" si="4">SUM(J12:L12)</f>
        <v>31784.990999999995</v>
      </c>
      <c r="N12" s="277" t="e">
        <f>#REF!/100</f>
        <v>#REF!</v>
      </c>
      <c r="O12" s="277" t="e">
        <f>#REF!/100</f>
        <v>#REF!</v>
      </c>
      <c r="P12" s="277" t="e">
        <f>#REF!/50</f>
        <v>#REF!</v>
      </c>
      <c r="Q12" s="173"/>
      <c r="R12" s="173" t="e">
        <f>ROUND(IF(N12&lt;=15,N12,15),0)</f>
        <v>#REF!</v>
      </c>
      <c r="S12" s="173" t="e">
        <f t="shared" ref="S12:T28" si="5">ROUND(IF(R12&lt;=15,R12,15),0)</f>
        <v>#REF!</v>
      </c>
      <c r="T12" s="173" t="e">
        <f t="shared" si="5"/>
        <v>#REF!</v>
      </c>
      <c r="U12" s="173"/>
      <c r="V12" s="173"/>
      <c r="W12" s="278" t="s">
        <v>122</v>
      </c>
      <c r="X12" s="278">
        <v>14</v>
      </c>
      <c r="Y12" s="173">
        <f>ROUND((3*X12/15),0)</f>
        <v>3</v>
      </c>
      <c r="Z12" s="279">
        <f>ROUND(M12/120/10,0)</f>
        <v>26</v>
      </c>
      <c r="AA12" s="280">
        <v>20</v>
      </c>
      <c r="AB12" s="281">
        <f>AA12*2</f>
        <v>40</v>
      </c>
      <c r="AC12" s="277">
        <f>AA12*1</f>
        <v>20</v>
      </c>
      <c r="AD12" s="277">
        <f>Z12/3</f>
        <v>8.6666666666666661</v>
      </c>
      <c r="AE12" s="282">
        <v>6</v>
      </c>
      <c r="AF12" s="283">
        <v>5</v>
      </c>
      <c r="AG12" s="284"/>
      <c r="AH12" s="148"/>
      <c r="AI12" s="148"/>
      <c r="AJ12" s="148"/>
      <c r="AK12" s="148"/>
      <c r="AL12" s="148"/>
      <c r="AM12" s="72"/>
      <c r="AN12" s="72"/>
      <c r="AO12" s="148"/>
      <c r="AP12" s="150"/>
      <c r="AQ12" s="151"/>
    </row>
    <row r="13" spans="1:43" ht="17.25" thickTop="1" thickBot="1" x14ac:dyDescent="0.3">
      <c r="A13" s="138" t="s">
        <v>121</v>
      </c>
      <c r="B13" s="153" t="s">
        <v>123</v>
      </c>
      <c r="C13" s="140">
        <v>39770</v>
      </c>
      <c r="D13" s="141">
        <v>0.46004681674999276</v>
      </c>
      <c r="E13" s="141">
        <v>0.35363985781579621</v>
      </c>
      <c r="F13" s="141">
        <v>0.18631332543421095</v>
      </c>
      <c r="G13" s="142">
        <f t="shared" si="0"/>
        <v>18296.061902147212</v>
      </c>
      <c r="H13" s="142">
        <f t="shared" si="1"/>
        <v>14064.257145334215</v>
      </c>
      <c r="I13" s="142">
        <f t="shared" si="2"/>
        <v>7409.680952518569</v>
      </c>
      <c r="J13" s="275">
        <f t="shared" ref="J13:J25" si="6">G13*41.7%</f>
        <v>7629.4578131953886</v>
      </c>
      <c r="K13" s="275">
        <f t="shared" ref="K13:K25" si="7">H13*41.7%</f>
        <v>5864.7952296043686</v>
      </c>
      <c r="L13" s="275">
        <f t="shared" ref="L13:L25" si="8">I13*41.7%</f>
        <v>3089.8369572002434</v>
      </c>
      <c r="M13" s="145">
        <f t="shared" si="4"/>
        <v>16584.09</v>
      </c>
      <c r="N13" s="149" t="e">
        <f>#REF!/100</f>
        <v>#REF!</v>
      </c>
      <c r="O13" s="149" t="e">
        <f>#REF!/100</f>
        <v>#REF!</v>
      </c>
      <c r="P13" s="149" t="e">
        <f>#REF!/50</f>
        <v>#REF!</v>
      </c>
      <c r="Q13" s="148"/>
      <c r="R13" s="148" t="e">
        <f t="shared" ref="R13:R82" si="9">ROUND(IF(N13&lt;=15,N13,15),0)</f>
        <v>#REF!</v>
      </c>
      <c r="S13" s="148" t="e">
        <f t="shared" si="5"/>
        <v>#REF!</v>
      </c>
      <c r="T13" s="148" t="e">
        <f t="shared" si="5"/>
        <v>#REF!</v>
      </c>
      <c r="U13" s="148"/>
      <c r="V13" s="148"/>
      <c r="W13" s="72" t="s">
        <v>124</v>
      </c>
      <c r="X13" s="72">
        <v>11</v>
      </c>
      <c r="Y13" s="148">
        <f t="shared" ref="Y13:Y22" si="10">ROUND((3*X13/15),0)</f>
        <v>2</v>
      </c>
      <c r="Z13" s="279">
        <f t="shared" ref="Z13:Z25" si="11">ROUND(M13/120/10,0)</f>
        <v>14</v>
      </c>
      <c r="AA13" s="154">
        <v>10</v>
      </c>
      <c r="AB13" s="152">
        <f t="shared" ref="AB13:AB82" si="12">AA13*2</f>
        <v>20</v>
      </c>
      <c r="AC13" s="149">
        <f t="shared" ref="AC13:AC82" si="13">AA13*1</f>
        <v>10</v>
      </c>
      <c r="AD13" s="277">
        <f t="shared" ref="AD13:AD25" si="14">Z13/3</f>
        <v>4.666666666666667</v>
      </c>
      <c r="AE13" s="285">
        <v>3</v>
      </c>
      <c r="AF13" s="286"/>
      <c r="AG13" s="284"/>
      <c r="AH13" s="148"/>
      <c r="AI13" s="148"/>
      <c r="AJ13" s="148"/>
      <c r="AK13" s="148"/>
      <c r="AL13" s="148"/>
      <c r="AM13" s="72"/>
      <c r="AN13" s="72"/>
      <c r="AO13" s="148"/>
      <c r="AP13" s="150"/>
      <c r="AQ13" s="154"/>
    </row>
    <row r="14" spans="1:43" ht="17.25" thickTop="1" thickBot="1" x14ac:dyDescent="0.3">
      <c r="A14" s="138" t="s">
        <v>121</v>
      </c>
      <c r="B14" s="153" t="s">
        <v>125</v>
      </c>
      <c r="C14" s="140">
        <v>13257</v>
      </c>
      <c r="D14" s="141">
        <v>0.3380566046202938</v>
      </c>
      <c r="E14" s="141">
        <v>0.65875486840831077</v>
      </c>
      <c r="F14" s="141">
        <v>3.1885269713953705E-3</v>
      </c>
      <c r="G14" s="142">
        <f t="shared" si="0"/>
        <v>4481.6164074512353</v>
      </c>
      <c r="H14" s="142">
        <f t="shared" si="1"/>
        <v>8733.1132904889764</v>
      </c>
      <c r="I14" s="142">
        <f t="shared" si="2"/>
        <v>42.270302059788428</v>
      </c>
      <c r="J14" s="275">
        <f t="shared" si="6"/>
        <v>1868.8340419071653</v>
      </c>
      <c r="K14" s="275">
        <f t="shared" si="7"/>
        <v>3641.7082421339037</v>
      </c>
      <c r="L14" s="275">
        <f t="shared" si="8"/>
        <v>17.626715958931776</v>
      </c>
      <c r="M14" s="145">
        <f t="shared" si="4"/>
        <v>5528.1690000000008</v>
      </c>
      <c r="N14" s="149" t="e">
        <f>#REF!/100</f>
        <v>#REF!</v>
      </c>
      <c r="O14" s="149" t="e">
        <f>#REF!/100</f>
        <v>#REF!</v>
      </c>
      <c r="P14" s="149" t="e">
        <f>#REF!/50</f>
        <v>#REF!</v>
      </c>
      <c r="Q14" s="148"/>
      <c r="R14" s="148" t="e">
        <f t="shared" si="9"/>
        <v>#REF!</v>
      </c>
      <c r="S14" s="148" t="e">
        <f t="shared" si="5"/>
        <v>#REF!</v>
      </c>
      <c r="T14" s="148" t="e">
        <f t="shared" si="5"/>
        <v>#REF!</v>
      </c>
      <c r="U14" s="148"/>
      <c r="V14" s="148"/>
      <c r="W14" s="72" t="s">
        <v>126</v>
      </c>
      <c r="X14" s="72">
        <v>8</v>
      </c>
      <c r="Y14" s="148">
        <f t="shared" si="10"/>
        <v>2</v>
      </c>
      <c r="Z14" s="279">
        <f t="shared" si="11"/>
        <v>5</v>
      </c>
      <c r="AA14" s="154">
        <v>5</v>
      </c>
      <c r="AB14" s="152">
        <f t="shared" si="12"/>
        <v>10</v>
      </c>
      <c r="AC14" s="149">
        <f t="shared" si="13"/>
        <v>5</v>
      </c>
      <c r="AD14" s="277">
        <f t="shared" si="14"/>
        <v>1.6666666666666667</v>
      </c>
      <c r="AE14" s="285">
        <v>1</v>
      </c>
      <c r="AF14" s="286"/>
      <c r="AG14" s="284"/>
      <c r="AH14" s="148"/>
      <c r="AI14" s="148"/>
      <c r="AJ14" s="148"/>
      <c r="AK14" s="148"/>
      <c r="AL14" s="148"/>
      <c r="AM14" s="72"/>
      <c r="AN14" s="72"/>
      <c r="AO14" s="148"/>
      <c r="AP14" s="150"/>
      <c r="AQ14" s="154"/>
    </row>
    <row r="15" spans="1:43" ht="17.25" thickTop="1" thickBot="1" x14ac:dyDescent="0.3">
      <c r="A15" s="138" t="s">
        <v>121</v>
      </c>
      <c r="B15" s="153" t="s">
        <v>127</v>
      </c>
      <c r="C15" s="140">
        <v>39770</v>
      </c>
      <c r="D15" s="141">
        <v>0.27521547771868676</v>
      </c>
      <c r="E15" s="141">
        <v>0.44837704016137869</v>
      </c>
      <c r="F15" s="141">
        <v>0.27640748211993371</v>
      </c>
      <c r="G15" s="142">
        <f t="shared" si="0"/>
        <v>10945.319548872172</v>
      </c>
      <c r="H15" s="142">
        <f t="shared" si="1"/>
        <v>17831.954887218031</v>
      </c>
      <c r="I15" s="142">
        <f t="shared" si="2"/>
        <v>10992.725563909764</v>
      </c>
      <c r="J15" s="275">
        <f t="shared" si="6"/>
        <v>4564.1982518796958</v>
      </c>
      <c r="K15" s="275">
        <f t="shared" si="7"/>
        <v>7435.9251879699195</v>
      </c>
      <c r="L15" s="275">
        <f t="shared" si="8"/>
        <v>4583.9665601503721</v>
      </c>
      <c r="M15" s="145">
        <f t="shared" si="4"/>
        <v>16584.089999999989</v>
      </c>
      <c r="N15" s="149" t="e">
        <f>#REF!/100</f>
        <v>#REF!</v>
      </c>
      <c r="O15" s="149" t="e">
        <f>#REF!/100</f>
        <v>#REF!</v>
      </c>
      <c r="P15" s="149" t="e">
        <f>#REF!/50</f>
        <v>#REF!</v>
      </c>
      <c r="Q15" s="148"/>
      <c r="R15" s="148" t="e">
        <f t="shared" si="9"/>
        <v>#REF!</v>
      </c>
      <c r="S15" s="148" t="e">
        <f t="shared" si="5"/>
        <v>#REF!</v>
      </c>
      <c r="T15" s="148" t="e">
        <f t="shared" si="5"/>
        <v>#REF!</v>
      </c>
      <c r="U15" s="148"/>
      <c r="V15" s="148"/>
      <c r="W15" s="72" t="s">
        <v>128</v>
      </c>
      <c r="X15" s="72">
        <v>3</v>
      </c>
      <c r="Y15" s="148">
        <f t="shared" si="10"/>
        <v>1</v>
      </c>
      <c r="Z15" s="279">
        <f t="shared" si="11"/>
        <v>14</v>
      </c>
      <c r="AA15" s="154">
        <v>9</v>
      </c>
      <c r="AB15" s="152">
        <f t="shared" si="12"/>
        <v>18</v>
      </c>
      <c r="AC15" s="149">
        <f t="shared" si="13"/>
        <v>9</v>
      </c>
      <c r="AD15" s="277">
        <f t="shared" si="14"/>
        <v>4.666666666666667</v>
      </c>
      <c r="AE15" s="285">
        <v>3</v>
      </c>
      <c r="AF15" s="286"/>
      <c r="AG15" s="284"/>
      <c r="AH15" s="148"/>
      <c r="AI15" s="148"/>
      <c r="AJ15" s="148"/>
      <c r="AK15" s="148"/>
      <c r="AL15" s="148"/>
      <c r="AM15" s="72"/>
      <c r="AN15" s="72"/>
      <c r="AO15" s="148"/>
      <c r="AP15" s="150"/>
      <c r="AQ15" s="154"/>
    </row>
    <row r="16" spans="1:43" ht="17.25" thickTop="1" thickBot="1" x14ac:dyDescent="0.3">
      <c r="A16" s="138" t="s">
        <v>121</v>
      </c>
      <c r="B16" s="153" t="s">
        <v>129</v>
      </c>
      <c r="C16" s="140">
        <v>29827</v>
      </c>
      <c r="D16" s="141">
        <v>0.23420769632949398</v>
      </c>
      <c r="E16" s="141">
        <v>0.64047436276301262</v>
      </c>
      <c r="F16" s="141">
        <v>0.12531794090749335</v>
      </c>
      <c r="G16" s="142">
        <f t="shared" si="0"/>
        <v>6985.7129584198174</v>
      </c>
      <c r="H16" s="142">
        <f t="shared" si="1"/>
        <v>19103.428818132379</v>
      </c>
      <c r="I16" s="142">
        <f t="shared" si="2"/>
        <v>3737.858223447804</v>
      </c>
      <c r="J16" s="275">
        <f t="shared" si="6"/>
        <v>2913.0423036610641</v>
      </c>
      <c r="K16" s="275">
        <f t="shared" si="7"/>
        <v>7966.1298171612025</v>
      </c>
      <c r="L16" s="275">
        <f t="shared" si="8"/>
        <v>1558.6868791777345</v>
      </c>
      <c r="M16" s="145">
        <f t="shared" si="4"/>
        <v>12437.859</v>
      </c>
      <c r="N16" s="149" t="e">
        <f>#REF!/100</f>
        <v>#REF!</v>
      </c>
      <c r="O16" s="149" t="e">
        <f>#REF!/100</f>
        <v>#REF!</v>
      </c>
      <c r="P16" s="149" t="e">
        <f>#REF!/50</f>
        <v>#REF!</v>
      </c>
      <c r="Q16" s="148"/>
      <c r="R16" s="148" t="e">
        <f t="shared" si="9"/>
        <v>#REF!</v>
      </c>
      <c r="S16" s="148" t="e">
        <f t="shared" si="5"/>
        <v>#REF!</v>
      </c>
      <c r="T16" s="148" t="e">
        <f t="shared" si="5"/>
        <v>#REF!</v>
      </c>
      <c r="U16" s="148"/>
      <c r="V16" s="148"/>
      <c r="W16" s="72" t="s">
        <v>89</v>
      </c>
      <c r="X16" s="72">
        <v>19</v>
      </c>
      <c r="Y16" s="148">
        <f t="shared" si="10"/>
        <v>4</v>
      </c>
      <c r="Z16" s="279">
        <f t="shared" si="11"/>
        <v>10</v>
      </c>
      <c r="AA16" s="154">
        <v>8</v>
      </c>
      <c r="AB16" s="152">
        <f t="shared" si="12"/>
        <v>16</v>
      </c>
      <c r="AC16" s="149">
        <f t="shared" si="13"/>
        <v>8</v>
      </c>
      <c r="AD16" s="277">
        <f t="shared" si="14"/>
        <v>3.3333333333333335</v>
      </c>
      <c r="AE16" s="285">
        <v>2</v>
      </c>
      <c r="AF16" s="286"/>
      <c r="AG16" s="284"/>
      <c r="AH16" s="148"/>
      <c r="AI16" s="148"/>
      <c r="AJ16" s="148"/>
      <c r="AK16" s="148"/>
      <c r="AL16" s="148"/>
      <c r="AM16" s="72"/>
      <c r="AN16" s="72"/>
      <c r="AO16" s="148"/>
      <c r="AP16" s="150"/>
      <c r="AQ16" s="154"/>
    </row>
    <row r="17" spans="1:43" ht="17.25" thickTop="1" thickBot="1" x14ac:dyDescent="0.3">
      <c r="A17" s="138" t="s">
        <v>121</v>
      </c>
      <c r="B17" s="153" t="s">
        <v>130</v>
      </c>
      <c r="C17" s="140">
        <v>13257</v>
      </c>
      <c r="D17" s="141">
        <v>0.31691438219199952</v>
      </c>
      <c r="E17" s="141">
        <v>0.60347209833530924</v>
      </c>
      <c r="F17" s="141">
        <v>7.9613519472690616E-2</v>
      </c>
      <c r="G17" s="142">
        <f t="shared" si="0"/>
        <v>4201.3339647193379</v>
      </c>
      <c r="H17" s="142">
        <f t="shared" si="1"/>
        <v>8000.229607631195</v>
      </c>
      <c r="I17" s="142">
        <f t="shared" si="2"/>
        <v>1055.4364276494596</v>
      </c>
      <c r="J17" s="275">
        <f t="shared" si="6"/>
        <v>1751.956263287964</v>
      </c>
      <c r="K17" s="275">
        <f t="shared" si="7"/>
        <v>3336.0957463822087</v>
      </c>
      <c r="L17" s="275">
        <f t="shared" si="8"/>
        <v>440.11699032982466</v>
      </c>
      <c r="M17" s="145">
        <f t="shared" si="4"/>
        <v>5528.1689999999981</v>
      </c>
      <c r="N17" s="149" t="e">
        <f>#REF!/100</f>
        <v>#REF!</v>
      </c>
      <c r="O17" s="149" t="e">
        <f>#REF!/100</f>
        <v>#REF!</v>
      </c>
      <c r="P17" s="149" t="e">
        <f>#REF!/50</f>
        <v>#REF!</v>
      </c>
      <c r="Q17" s="148"/>
      <c r="R17" s="148" t="e">
        <f t="shared" si="9"/>
        <v>#REF!</v>
      </c>
      <c r="S17" s="148" t="e">
        <f t="shared" si="5"/>
        <v>#REF!</v>
      </c>
      <c r="T17" s="148" t="e">
        <f t="shared" si="5"/>
        <v>#REF!</v>
      </c>
      <c r="U17" s="148"/>
      <c r="V17" s="148"/>
      <c r="W17" s="72" t="s">
        <v>131</v>
      </c>
      <c r="X17" s="72">
        <v>5</v>
      </c>
      <c r="Y17" s="148">
        <f t="shared" si="10"/>
        <v>1</v>
      </c>
      <c r="Z17" s="279">
        <f t="shared" si="11"/>
        <v>5</v>
      </c>
      <c r="AA17" s="154">
        <v>4</v>
      </c>
      <c r="AB17" s="152">
        <f t="shared" si="12"/>
        <v>8</v>
      </c>
      <c r="AC17" s="149">
        <f t="shared" si="13"/>
        <v>4</v>
      </c>
      <c r="AD17" s="277">
        <f t="shared" si="14"/>
        <v>1.6666666666666667</v>
      </c>
      <c r="AE17" s="285">
        <v>1</v>
      </c>
      <c r="AF17" s="286"/>
      <c r="AG17" s="284"/>
      <c r="AH17" s="148"/>
      <c r="AI17" s="148"/>
      <c r="AJ17" s="148"/>
      <c r="AK17" s="148"/>
      <c r="AL17" s="148"/>
      <c r="AM17" s="72"/>
      <c r="AN17" s="72"/>
      <c r="AO17" s="148"/>
      <c r="AP17" s="150"/>
      <c r="AQ17" s="154"/>
    </row>
    <row r="18" spans="1:43" ht="17.25" thickTop="1" thickBot="1" x14ac:dyDescent="0.3">
      <c r="A18" s="138" t="s">
        <v>121</v>
      </c>
      <c r="B18" s="153" t="s">
        <v>132</v>
      </c>
      <c r="C18" s="140">
        <v>3314</v>
      </c>
      <c r="D18" s="141">
        <v>0.15877368055245586</v>
      </c>
      <c r="E18" s="141">
        <v>0.55083669691230885</v>
      </c>
      <c r="F18" s="141">
        <v>0.29038962253523509</v>
      </c>
      <c r="G18" s="142">
        <f t="shared" si="0"/>
        <v>526.17597735083871</v>
      </c>
      <c r="H18" s="142">
        <f t="shared" si="1"/>
        <v>1825.4728135673915</v>
      </c>
      <c r="I18" s="142">
        <f t="shared" si="2"/>
        <v>962.35120908176907</v>
      </c>
      <c r="J18" s="275">
        <f t="shared" si="6"/>
        <v>219.41538255529977</v>
      </c>
      <c r="K18" s="275">
        <f t="shared" si="7"/>
        <v>761.22216325760235</v>
      </c>
      <c r="L18" s="275">
        <f t="shared" si="8"/>
        <v>401.30045418709773</v>
      </c>
      <c r="M18" s="145">
        <f t="shared" si="4"/>
        <v>1381.9379999999999</v>
      </c>
      <c r="N18" s="149" t="e">
        <f>#REF!/100</f>
        <v>#REF!</v>
      </c>
      <c r="O18" s="149" t="e">
        <f>#REF!/100</f>
        <v>#REF!</v>
      </c>
      <c r="P18" s="149" t="e">
        <f>#REF!/50</f>
        <v>#REF!</v>
      </c>
      <c r="Q18" s="148"/>
      <c r="R18" s="148" t="e">
        <f t="shared" si="9"/>
        <v>#REF!</v>
      </c>
      <c r="S18" s="148" t="e">
        <f t="shared" si="5"/>
        <v>#REF!</v>
      </c>
      <c r="T18" s="148" t="e">
        <f t="shared" si="5"/>
        <v>#REF!</v>
      </c>
      <c r="U18" s="148"/>
      <c r="V18" s="148"/>
      <c r="W18" s="72" t="s">
        <v>133</v>
      </c>
      <c r="X18" s="72">
        <v>19</v>
      </c>
      <c r="Y18" s="148">
        <f t="shared" si="10"/>
        <v>4</v>
      </c>
      <c r="Z18" s="279">
        <f t="shared" si="11"/>
        <v>1</v>
      </c>
      <c r="AA18" s="154">
        <v>1</v>
      </c>
      <c r="AB18" s="152">
        <f t="shared" si="12"/>
        <v>2</v>
      </c>
      <c r="AC18" s="149">
        <f t="shared" si="13"/>
        <v>1</v>
      </c>
      <c r="AD18" s="277">
        <f t="shared" si="14"/>
        <v>0.33333333333333331</v>
      </c>
      <c r="AE18" s="285">
        <v>1</v>
      </c>
      <c r="AF18" s="286"/>
      <c r="AG18" s="284"/>
      <c r="AH18" s="148"/>
      <c r="AI18" s="148"/>
      <c r="AJ18" s="148"/>
      <c r="AK18" s="148"/>
      <c r="AL18" s="148"/>
      <c r="AM18" s="72"/>
      <c r="AN18" s="72"/>
      <c r="AO18" s="148"/>
      <c r="AP18" s="150"/>
      <c r="AQ18" s="154"/>
    </row>
    <row r="19" spans="1:43" ht="17.25" thickTop="1" thickBot="1" x14ac:dyDescent="0.3">
      <c r="A19" s="138" t="s">
        <v>121</v>
      </c>
      <c r="B19" s="153" t="s">
        <v>134</v>
      </c>
      <c r="C19" s="140">
        <v>19885</v>
      </c>
      <c r="D19" s="141">
        <v>0.14049073180983435</v>
      </c>
      <c r="E19" s="141">
        <v>0.51843492182144368</v>
      </c>
      <c r="F19" s="141">
        <v>0.34107434636872097</v>
      </c>
      <c r="G19" s="142">
        <f t="shared" si="0"/>
        <v>2793.6582020385558</v>
      </c>
      <c r="H19" s="142">
        <f t="shared" si="1"/>
        <v>10309.078420419408</v>
      </c>
      <c r="I19" s="142">
        <f t="shared" si="2"/>
        <v>6782.2633775420163</v>
      </c>
      <c r="J19" s="275">
        <f t="shared" si="6"/>
        <v>1164.955470250078</v>
      </c>
      <c r="K19" s="275">
        <f t="shared" si="7"/>
        <v>4298.8857013148936</v>
      </c>
      <c r="L19" s="275">
        <f t="shared" si="8"/>
        <v>2828.203828435021</v>
      </c>
      <c r="M19" s="145">
        <f t="shared" si="4"/>
        <v>8292.0449999999928</v>
      </c>
      <c r="N19" s="149" t="e">
        <f>#REF!/100</f>
        <v>#REF!</v>
      </c>
      <c r="O19" s="149" t="e">
        <f>#REF!/100</f>
        <v>#REF!</v>
      </c>
      <c r="P19" s="149" t="e">
        <f>#REF!/50</f>
        <v>#REF!</v>
      </c>
      <c r="Q19" s="148"/>
      <c r="R19" s="148" t="e">
        <f t="shared" si="9"/>
        <v>#REF!</v>
      </c>
      <c r="S19" s="148" t="e">
        <f t="shared" si="5"/>
        <v>#REF!</v>
      </c>
      <c r="T19" s="148" t="e">
        <f t="shared" si="5"/>
        <v>#REF!</v>
      </c>
      <c r="U19" s="148"/>
      <c r="V19" s="148"/>
      <c r="W19" s="72" t="s">
        <v>135</v>
      </c>
      <c r="X19" s="72">
        <v>10</v>
      </c>
      <c r="Y19" s="148">
        <f t="shared" si="10"/>
        <v>2</v>
      </c>
      <c r="Z19" s="279">
        <f t="shared" si="11"/>
        <v>7</v>
      </c>
      <c r="AA19" s="154">
        <v>5</v>
      </c>
      <c r="AB19" s="152">
        <f t="shared" si="12"/>
        <v>10</v>
      </c>
      <c r="AC19" s="149">
        <f t="shared" si="13"/>
        <v>5</v>
      </c>
      <c r="AD19" s="277">
        <f t="shared" si="14"/>
        <v>2.3333333333333335</v>
      </c>
      <c r="AE19" s="285">
        <v>2</v>
      </c>
      <c r="AF19" s="286"/>
      <c r="AG19" s="284"/>
      <c r="AH19" s="148"/>
      <c r="AI19" s="148"/>
      <c r="AJ19" s="148"/>
      <c r="AK19" s="148"/>
      <c r="AL19" s="148"/>
      <c r="AM19" s="72"/>
      <c r="AN19" s="72"/>
      <c r="AO19" s="148"/>
      <c r="AP19" s="150"/>
      <c r="AQ19" s="154"/>
    </row>
    <row r="20" spans="1:43" ht="17.25" thickTop="1" thickBot="1" x14ac:dyDescent="0.3">
      <c r="A20" s="138" t="s">
        <v>121</v>
      </c>
      <c r="B20" s="153" t="s">
        <v>136</v>
      </c>
      <c r="C20" s="140">
        <v>9942</v>
      </c>
      <c r="D20" s="141">
        <v>0.4192008285494091</v>
      </c>
      <c r="E20" s="141">
        <v>0.36347791866103379</v>
      </c>
      <c r="F20" s="141">
        <v>0.21732125278955725</v>
      </c>
      <c r="G20" s="142">
        <f t="shared" si="0"/>
        <v>4167.6946374382251</v>
      </c>
      <c r="H20" s="142">
        <f t="shared" si="1"/>
        <v>3613.6974673279979</v>
      </c>
      <c r="I20" s="142">
        <f t="shared" si="2"/>
        <v>2160.607895233778</v>
      </c>
      <c r="J20" s="275">
        <f t="shared" si="6"/>
        <v>1737.9286638117401</v>
      </c>
      <c r="K20" s="275">
        <f t="shared" si="7"/>
        <v>1506.9118438757753</v>
      </c>
      <c r="L20" s="275">
        <f t="shared" si="8"/>
        <v>900.97349231248552</v>
      </c>
      <c r="M20" s="145">
        <f t="shared" si="4"/>
        <v>4145.8140000000003</v>
      </c>
      <c r="N20" s="149" t="e">
        <f>#REF!/100</f>
        <v>#REF!</v>
      </c>
      <c r="O20" s="149" t="e">
        <f>#REF!/100</f>
        <v>#REF!</v>
      </c>
      <c r="P20" s="149" t="e">
        <f>#REF!/50</f>
        <v>#REF!</v>
      </c>
      <c r="Q20" s="148"/>
      <c r="R20" s="148" t="e">
        <f t="shared" si="9"/>
        <v>#REF!</v>
      </c>
      <c r="S20" s="148" t="e">
        <f t="shared" si="5"/>
        <v>#REF!</v>
      </c>
      <c r="T20" s="148" t="e">
        <f t="shared" si="5"/>
        <v>#REF!</v>
      </c>
      <c r="U20" s="148"/>
      <c r="V20" s="148"/>
      <c r="W20" s="72" t="s">
        <v>137</v>
      </c>
      <c r="X20" s="72">
        <v>6</v>
      </c>
      <c r="Y20" s="148">
        <f t="shared" si="10"/>
        <v>1</v>
      </c>
      <c r="Z20" s="279">
        <f t="shared" si="11"/>
        <v>3</v>
      </c>
      <c r="AA20" s="154">
        <v>3</v>
      </c>
      <c r="AB20" s="152">
        <f t="shared" si="12"/>
        <v>6</v>
      </c>
      <c r="AC20" s="149">
        <f t="shared" si="13"/>
        <v>3</v>
      </c>
      <c r="AD20" s="277">
        <f t="shared" si="14"/>
        <v>1</v>
      </c>
      <c r="AE20" s="285">
        <v>1</v>
      </c>
      <c r="AF20" s="286"/>
      <c r="AG20" s="284"/>
      <c r="AH20" s="148"/>
      <c r="AI20" s="148"/>
      <c r="AJ20" s="148"/>
      <c r="AK20" s="148"/>
      <c r="AL20" s="148"/>
      <c r="AM20" s="72"/>
      <c r="AN20" s="72"/>
      <c r="AO20" s="148"/>
      <c r="AP20" s="150"/>
      <c r="AQ20" s="154"/>
    </row>
    <row r="21" spans="1:43" ht="17.25" thickTop="1" thickBot="1" x14ac:dyDescent="0.3">
      <c r="A21" s="138" t="s">
        <v>121</v>
      </c>
      <c r="B21" s="153" t="s">
        <v>138</v>
      </c>
      <c r="C21" s="140">
        <v>13257</v>
      </c>
      <c r="D21" s="141">
        <v>0.12658514492753617</v>
      </c>
      <c r="E21" s="141">
        <v>0.37375452898550704</v>
      </c>
      <c r="F21" s="141">
        <v>0.49966032608695643</v>
      </c>
      <c r="G21" s="142">
        <f t="shared" si="0"/>
        <v>1678.1392663043471</v>
      </c>
      <c r="H21" s="142">
        <f t="shared" si="1"/>
        <v>4954.8637907608672</v>
      </c>
      <c r="I21" s="142">
        <f t="shared" si="2"/>
        <v>6623.9969429347811</v>
      </c>
      <c r="J21" s="275">
        <f t="shared" si="6"/>
        <v>699.78407404891277</v>
      </c>
      <c r="K21" s="275">
        <f t="shared" si="7"/>
        <v>2066.1782007472816</v>
      </c>
      <c r="L21" s="275">
        <f t="shared" si="8"/>
        <v>2762.2067252038041</v>
      </c>
      <c r="M21" s="145">
        <f t="shared" si="4"/>
        <v>5528.1689999999981</v>
      </c>
      <c r="N21" s="149" t="e">
        <f>#REF!/100</f>
        <v>#REF!</v>
      </c>
      <c r="O21" s="149" t="e">
        <f>#REF!/100</f>
        <v>#REF!</v>
      </c>
      <c r="P21" s="149" t="e">
        <f>#REF!/50</f>
        <v>#REF!</v>
      </c>
      <c r="Q21" s="148"/>
      <c r="R21" s="148" t="e">
        <f t="shared" si="9"/>
        <v>#REF!</v>
      </c>
      <c r="S21" s="148" t="e">
        <f t="shared" si="5"/>
        <v>#REF!</v>
      </c>
      <c r="T21" s="148" t="e">
        <f t="shared" si="5"/>
        <v>#REF!</v>
      </c>
      <c r="U21" s="148"/>
      <c r="V21" s="148"/>
      <c r="W21" s="72" t="s">
        <v>139</v>
      </c>
      <c r="X21" s="72">
        <v>14</v>
      </c>
      <c r="Y21" s="148">
        <f t="shared" si="10"/>
        <v>3</v>
      </c>
      <c r="Z21" s="279">
        <f t="shared" si="11"/>
        <v>5</v>
      </c>
      <c r="AA21" s="154">
        <v>4</v>
      </c>
      <c r="AB21" s="152">
        <f t="shared" si="12"/>
        <v>8</v>
      </c>
      <c r="AC21" s="149">
        <f t="shared" si="13"/>
        <v>4</v>
      </c>
      <c r="AD21" s="277">
        <f t="shared" si="14"/>
        <v>1.6666666666666667</v>
      </c>
      <c r="AE21" s="285">
        <v>1</v>
      </c>
      <c r="AF21" s="286"/>
      <c r="AG21" s="284"/>
      <c r="AH21" s="148"/>
      <c r="AI21" s="148"/>
      <c r="AJ21" s="148"/>
      <c r="AK21" s="148"/>
      <c r="AL21" s="148"/>
      <c r="AM21" s="72"/>
      <c r="AN21" s="72"/>
      <c r="AO21" s="148"/>
      <c r="AP21" s="150"/>
      <c r="AQ21" s="154"/>
    </row>
    <row r="22" spans="1:43" ht="17.25" thickTop="1" thickBot="1" x14ac:dyDescent="0.3">
      <c r="A22" s="138" t="s">
        <v>121</v>
      </c>
      <c r="B22" s="153" t="s">
        <v>140</v>
      </c>
      <c r="C22" s="140">
        <v>13257</v>
      </c>
      <c r="D22" s="141">
        <v>0.16857926271961005</v>
      </c>
      <c r="E22" s="141">
        <v>0.56413120747435774</v>
      </c>
      <c r="F22" s="141">
        <v>0.26728952980603227</v>
      </c>
      <c r="G22" s="142">
        <f t="shared" si="0"/>
        <v>2234.8552858738703</v>
      </c>
      <c r="H22" s="142">
        <f t="shared" si="1"/>
        <v>7478.6874174875602</v>
      </c>
      <c r="I22" s="142">
        <f t="shared" si="2"/>
        <v>3543.4572966385699</v>
      </c>
      <c r="J22" s="275">
        <f t="shared" si="6"/>
        <v>931.93465420940402</v>
      </c>
      <c r="K22" s="275">
        <f t="shared" si="7"/>
        <v>3118.6126530923129</v>
      </c>
      <c r="L22" s="275">
        <f t="shared" si="8"/>
        <v>1477.6216926982838</v>
      </c>
      <c r="M22" s="145">
        <f t="shared" si="4"/>
        <v>5528.1690000000008</v>
      </c>
      <c r="N22" s="149" t="e">
        <f>#REF!/100</f>
        <v>#REF!</v>
      </c>
      <c r="O22" s="149" t="e">
        <f>#REF!/100</f>
        <v>#REF!</v>
      </c>
      <c r="P22" s="149" t="e">
        <f>#REF!/50</f>
        <v>#REF!</v>
      </c>
      <c r="Q22" s="148"/>
      <c r="R22" s="148" t="e">
        <f t="shared" si="9"/>
        <v>#REF!</v>
      </c>
      <c r="S22" s="148" t="e">
        <f t="shared" si="5"/>
        <v>#REF!</v>
      </c>
      <c r="T22" s="148" t="e">
        <f t="shared" si="5"/>
        <v>#REF!</v>
      </c>
      <c r="U22" s="148"/>
      <c r="V22" s="148"/>
      <c r="W22" s="72" t="s">
        <v>141</v>
      </c>
      <c r="X22" s="72">
        <v>8</v>
      </c>
      <c r="Y22" s="148">
        <f t="shared" si="10"/>
        <v>2</v>
      </c>
      <c r="Z22" s="279">
        <f t="shared" si="11"/>
        <v>5</v>
      </c>
      <c r="AA22" s="154">
        <v>4</v>
      </c>
      <c r="AB22" s="152">
        <f t="shared" si="12"/>
        <v>8</v>
      </c>
      <c r="AC22" s="149">
        <f t="shared" si="13"/>
        <v>4</v>
      </c>
      <c r="AD22" s="277">
        <f t="shared" si="14"/>
        <v>1.6666666666666667</v>
      </c>
      <c r="AE22" s="285">
        <v>1</v>
      </c>
      <c r="AF22" s="286"/>
      <c r="AG22" s="284"/>
      <c r="AH22" s="148"/>
      <c r="AI22" s="148"/>
      <c r="AJ22" s="148"/>
      <c r="AK22" s="148"/>
      <c r="AL22" s="148"/>
      <c r="AM22" s="72"/>
      <c r="AN22" s="72"/>
      <c r="AO22" s="148"/>
      <c r="AP22" s="150"/>
      <c r="AQ22" s="154"/>
    </row>
    <row r="23" spans="1:43" ht="17.25" thickTop="1" thickBot="1" x14ac:dyDescent="0.3">
      <c r="A23" s="138" t="s">
        <v>121</v>
      </c>
      <c r="B23" s="153" t="s">
        <v>142</v>
      </c>
      <c r="C23" s="140">
        <v>23199</v>
      </c>
      <c r="D23" s="141">
        <v>0.22585412719005651</v>
      </c>
      <c r="E23" s="141">
        <v>0.77414587280994296</v>
      </c>
      <c r="F23" s="141">
        <v>0</v>
      </c>
      <c r="G23" s="142">
        <f t="shared" si="0"/>
        <v>5239.5898966821214</v>
      </c>
      <c r="H23" s="142">
        <f t="shared" si="1"/>
        <v>17959.410103317867</v>
      </c>
      <c r="I23" s="142">
        <f t="shared" si="2"/>
        <v>0</v>
      </c>
      <c r="J23" s="275">
        <f t="shared" si="6"/>
        <v>2184.908986916445</v>
      </c>
      <c r="K23" s="275">
        <f t="shared" si="7"/>
        <v>7489.0740130835511</v>
      </c>
      <c r="L23" s="275">
        <f t="shared" si="8"/>
        <v>0</v>
      </c>
      <c r="M23" s="145">
        <f t="shared" si="4"/>
        <v>9673.9829999999965</v>
      </c>
      <c r="N23" s="149" t="e">
        <f>#REF!/100</f>
        <v>#REF!</v>
      </c>
      <c r="O23" s="149" t="e">
        <f>#REF!/100</f>
        <v>#REF!</v>
      </c>
      <c r="P23" s="149" t="e">
        <f>#REF!/50</f>
        <v>#REF!</v>
      </c>
      <c r="Q23" s="148"/>
      <c r="R23" s="148" t="e">
        <f t="shared" si="9"/>
        <v>#REF!</v>
      </c>
      <c r="S23" s="148" t="e">
        <f t="shared" si="5"/>
        <v>#REF!</v>
      </c>
      <c r="T23" s="148" t="e">
        <f t="shared" si="5"/>
        <v>#REF!</v>
      </c>
      <c r="U23" s="148"/>
      <c r="V23" s="148"/>
      <c r="W23" s="148"/>
      <c r="X23" s="148"/>
      <c r="Y23" s="148">
        <f>SUM(Y12:Y22)</f>
        <v>25</v>
      </c>
      <c r="Z23" s="279">
        <f t="shared" si="11"/>
        <v>8</v>
      </c>
      <c r="AA23" s="154">
        <v>5</v>
      </c>
      <c r="AB23" s="152">
        <f t="shared" si="12"/>
        <v>10</v>
      </c>
      <c r="AC23" s="149">
        <f t="shared" si="13"/>
        <v>5</v>
      </c>
      <c r="AD23" s="277">
        <f t="shared" si="14"/>
        <v>2.6666666666666665</v>
      </c>
      <c r="AE23" s="285">
        <v>2</v>
      </c>
      <c r="AF23" s="286"/>
      <c r="AG23" s="284"/>
      <c r="AH23" s="148"/>
      <c r="AI23" s="148"/>
      <c r="AJ23" s="148"/>
      <c r="AK23" s="148"/>
      <c r="AL23" s="148"/>
      <c r="AM23" s="148"/>
      <c r="AN23" s="148"/>
      <c r="AO23" s="148"/>
      <c r="AP23" s="150"/>
      <c r="AQ23" s="154"/>
    </row>
    <row r="24" spans="1:43" ht="17.25" thickTop="1" thickBot="1" x14ac:dyDescent="0.3">
      <c r="A24" s="138" t="s">
        <v>121</v>
      </c>
      <c r="B24" s="153" t="s">
        <v>143</v>
      </c>
      <c r="C24" s="140">
        <v>6628</v>
      </c>
      <c r="D24" s="141">
        <v>0.71548074008015128</v>
      </c>
      <c r="E24" s="141">
        <v>0.26480790976704888</v>
      </c>
      <c r="F24" s="141">
        <v>1.9711350152800313E-2</v>
      </c>
      <c r="G24" s="142">
        <f t="shared" si="0"/>
        <v>4742.206345251243</v>
      </c>
      <c r="H24" s="142">
        <f t="shared" si="1"/>
        <v>1755.1468259359999</v>
      </c>
      <c r="I24" s="142">
        <f t="shared" si="2"/>
        <v>130.64682881276048</v>
      </c>
      <c r="J24" s="275">
        <f t="shared" si="6"/>
        <v>1977.5000459697685</v>
      </c>
      <c r="K24" s="275">
        <f t="shared" si="7"/>
        <v>731.89622641531207</v>
      </c>
      <c r="L24" s="275">
        <f t="shared" si="8"/>
        <v>54.479727614921124</v>
      </c>
      <c r="M24" s="145">
        <f t="shared" si="4"/>
        <v>2763.8760000000016</v>
      </c>
      <c r="N24" s="149" t="e">
        <f>#REF!/100</f>
        <v>#REF!</v>
      </c>
      <c r="O24" s="149" t="e">
        <f>#REF!/100</f>
        <v>#REF!</v>
      </c>
      <c r="P24" s="149" t="e">
        <f>#REF!/50</f>
        <v>#REF!</v>
      </c>
      <c r="Q24" s="148"/>
      <c r="R24" s="148" t="e">
        <f t="shared" si="9"/>
        <v>#REF!</v>
      </c>
      <c r="S24" s="148" t="e">
        <f t="shared" si="5"/>
        <v>#REF!</v>
      </c>
      <c r="T24" s="148" t="e">
        <f t="shared" si="5"/>
        <v>#REF!</v>
      </c>
      <c r="U24" s="148"/>
      <c r="V24" s="148"/>
      <c r="W24" s="148"/>
      <c r="X24" s="148"/>
      <c r="Y24" s="148"/>
      <c r="Z24" s="279">
        <f t="shared" si="11"/>
        <v>2</v>
      </c>
      <c r="AA24" s="154">
        <v>2</v>
      </c>
      <c r="AB24" s="152">
        <f t="shared" si="12"/>
        <v>4</v>
      </c>
      <c r="AC24" s="149">
        <f t="shared" si="13"/>
        <v>2</v>
      </c>
      <c r="AD24" s="277">
        <f t="shared" si="14"/>
        <v>0.66666666666666663</v>
      </c>
      <c r="AE24" s="285">
        <v>1</v>
      </c>
      <c r="AF24" s="286"/>
      <c r="AG24" s="284"/>
      <c r="AH24" s="148"/>
      <c r="AI24" s="148"/>
      <c r="AJ24" s="148"/>
      <c r="AK24" s="148"/>
      <c r="AL24" s="148"/>
      <c r="AM24" s="148"/>
      <c r="AN24" s="148"/>
      <c r="AO24" s="148"/>
      <c r="AP24" s="150"/>
      <c r="AQ24" s="154"/>
    </row>
    <row r="25" spans="1:43" ht="17.25" thickTop="1" thickBot="1" x14ac:dyDescent="0.3">
      <c r="A25" s="138" t="s">
        <v>121</v>
      </c>
      <c r="B25" s="287" t="s">
        <v>144</v>
      </c>
      <c r="C25" s="140">
        <v>29827</v>
      </c>
      <c r="D25" s="288">
        <v>0.10540909191864338</v>
      </c>
      <c r="E25" s="288">
        <v>0.22966924483173493</v>
      </c>
      <c r="F25" s="288">
        <v>0.66492166324962132</v>
      </c>
      <c r="G25" s="289">
        <f t="shared" si="0"/>
        <v>3144.0369846573763</v>
      </c>
      <c r="H25" s="289">
        <f t="shared" si="1"/>
        <v>6850.3445655961577</v>
      </c>
      <c r="I25" s="289">
        <f t="shared" si="2"/>
        <v>19832.618449746456</v>
      </c>
      <c r="J25" s="275">
        <f t="shared" si="6"/>
        <v>1311.0634226021259</v>
      </c>
      <c r="K25" s="275">
        <f t="shared" si="7"/>
        <v>2856.5936838535981</v>
      </c>
      <c r="L25" s="275">
        <f t="shared" si="8"/>
        <v>8270.2018935442738</v>
      </c>
      <c r="M25" s="290">
        <f t="shared" si="4"/>
        <v>12437.858999999997</v>
      </c>
      <c r="N25" s="291" t="e">
        <f>#REF!/100</f>
        <v>#REF!</v>
      </c>
      <c r="O25" s="291" t="e">
        <f>#REF!/100</f>
        <v>#REF!</v>
      </c>
      <c r="P25" s="291" t="e">
        <f>#REF!/50</f>
        <v>#REF!</v>
      </c>
      <c r="Q25" s="165"/>
      <c r="R25" s="165" t="e">
        <f t="shared" si="9"/>
        <v>#REF!</v>
      </c>
      <c r="S25" s="165" t="e">
        <f t="shared" si="5"/>
        <v>#REF!</v>
      </c>
      <c r="T25" s="165" t="e">
        <f t="shared" si="5"/>
        <v>#REF!</v>
      </c>
      <c r="U25" s="165"/>
      <c r="V25" s="165"/>
      <c r="W25" s="165"/>
      <c r="X25" s="165"/>
      <c r="Y25" s="165"/>
      <c r="Z25" s="279">
        <f t="shared" si="11"/>
        <v>10</v>
      </c>
      <c r="AA25" s="292">
        <v>8</v>
      </c>
      <c r="AB25" s="293">
        <f t="shared" si="12"/>
        <v>16</v>
      </c>
      <c r="AC25" s="291">
        <f t="shared" si="13"/>
        <v>8</v>
      </c>
      <c r="AD25" s="277">
        <f t="shared" si="14"/>
        <v>3.3333333333333335</v>
      </c>
      <c r="AE25" s="294">
        <v>2</v>
      </c>
      <c r="AF25" s="295"/>
      <c r="AG25" s="284"/>
      <c r="AH25" s="148"/>
      <c r="AI25" s="148"/>
      <c r="AJ25" s="148"/>
      <c r="AK25" s="148"/>
      <c r="AL25" s="148"/>
      <c r="AM25" s="148"/>
      <c r="AN25" s="148"/>
      <c r="AO25" s="148"/>
      <c r="AP25" s="150"/>
      <c r="AQ25" s="154"/>
    </row>
    <row r="26" spans="1:43" ht="18.75" thickBot="1" x14ac:dyDescent="0.3">
      <c r="A26" s="138"/>
      <c r="B26" s="296"/>
      <c r="C26" s="297">
        <f>SUM(C12:C25)</f>
        <v>331413</v>
      </c>
      <c r="D26" s="298"/>
      <c r="E26" s="298"/>
      <c r="F26" s="298"/>
      <c r="G26" s="297">
        <f>SUM(G12:G25)</f>
        <v>110419.41031562534</v>
      </c>
      <c r="H26" s="297">
        <f t="shared" ref="H26:AF26" si="15">SUM(H12:H25)</f>
        <v>138045.19421535253</v>
      </c>
      <c r="I26" s="297">
        <f t="shared" si="15"/>
        <v>82948.395469022013</v>
      </c>
      <c r="J26" s="297">
        <f t="shared" si="15"/>
        <v>46044.894101615777</v>
      </c>
      <c r="K26" s="297">
        <f t="shared" si="15"/>
        <v>57564.845987802008</v>
      </c>
      <c r="L26" s="297">
        <f t="shared" si="15"/>
        <v>34589.480910582184</v>
      </c>
      <c r="M26" s="297">
        <f>SUM(M12:M25)</f>
        <v>138199.22099999996</v>
      </c>
      <c r="N26" s="297" t="e">
        <f t="shared" si="15"/>
        <v>#REF!</v>
      </c>
      <c r="O26" s="297" t="e">
        <f t="shared" si="15"/>
        <v>#REF!</v>
      </c>
      <c r="P26" s="297" t="e">
        <f t="shared" si="15"/>
        <v>#REF!</v>
      </c>
      <c r="Q26" s="297">
        <f t="shared" si="15"/>
        <v>0</v>
      </c>
      <c r="R26" s="297" t="e">
        <f t="shared" si="15"/>
        <v>#REF!</v>
      </c>
      <c r="S26" s="297" t="e">
        <f t="shared" si="15"/>
        <v>#REF!</v>
      </c>
      <c r="T26" s="297" t="e">
        <f t="shared" si="15"/>
        <v>#REF!</v>
      </c>
      <c r="U26" s="297">
        <f t="shared" si="15"/>
        <v>0</v>
      </c>
      <c r="V26" s="297">
        <f t="shared" si="15"/>
        <v>0</v>
      </c>
      <c r="W26" s="297">
        <f t="shared" si="15"/>
        <v>0</v>
      </c>
      <c r="X26" s="297">
        <f t="shared" si="15"/>
        <v>117</v>
      </c>
      <c r="Y26" s="297">
        <f t="shared" si="15"/>
        <v>50</v>
      </c>
      <c r="Z26" s="297">
        <f t="shared" si="15"/>
        <v>115</v>
      </c>
      <c r="AA26" s="297">
        <f t="shared" si="15"/>
        <v>88</v>
      </c>
      <c r="AB26" s="297">
        <f t="shared" si="15"/>
        <v>176</v>
      </c>
      <c r="AC26" s="297">
        <f t="shared" si="15"/>
        <v>88</v>
      </c>
      <c r="AD26" s="297">
        <f t="shared" si="15"/>
        <v>38.333333333333329</v>
      </c>
      <c r="AE26" s="299">
        <f t="shared" si="15"/>
        <v>27</v>
      </c>
      <c r="AF26" s="300">
        <f t="shared" si="15"/>
        <v>5</v>
      </c>
      <c r="AG26" s="284"/>
      <c r="AH26" s="148"/>
      <c r="AI26" s="148"/>
      <c r="AJ26" s="148"/>
      <c r="AK26" s="148"/>
      <c r="AL26" s="148"/>
      <c r="AM26" s="148"/>
      <c r="AN26" s="148"/>
      <c r="AO26" s="148"/>
      <c r="AP26" s="150"/>
      <c r="AQ26" s="154"/>
    </row>
    <row r="27" spans="1:43" ht="16.5" thickBot="1" x14ac:dyDescent="0.3">
      <c r="A27" s="138" t="s">
        <v>145</v>
      </c>
      <c r="B27" s="301" t="s">
        <v>146</v>
      </c>
      <c r="C27" s="140">
        <v>7179</v>
      </c>
      <c r="D27" s="274">
        <v>0.71941277244777024</v>
      </c>
      <c r="E27" s="274">
        <v>0.25460247049339968</v>
      </c>
      <c r="F27" s="274">
        <v>2.5984757058829921E-2</v>
      </c>
      <c r="G27" s="142">
        <f t="shared" si="0"/>
        <v>5164.6642934025422</v>
      </c>
      <c r="H27" s="142">
        <f t="shared" si="1"/>
        <v>1827.7911356721163</v>
      </c>
      <c r="I27" s="142">
        <f t="shared" si="2"/>
        <v>186.54457092534</v>
      </c>
      <c r="J27" s="275">
        <f>G27*41.7%</f>
        <v>2153.6650103488601</v>
      </c>
      <c r="K27" s="275">
        <f t="shared" ref="K27:L27" si="16">H27*41.7%</f>
        <v>762.18890357527255</v>
      </c>
      <c r="L27" s="275">
        <f t="shared" si="16"/>
        <v>77.789086075866791</v>
      </c>
      <c r="M27" s="276">
        <f t="shared" si="4"/>
        <v>2993.6429999999991</v>
      </c>
      <c r="N27" s="277" t="e">
        <f>#REF!/100</f>
        <v>#REF!</v>
      </c>
      <c r="O27" s="277" t="e">
        <f>#REF!/100</f>
        <v>#REF!</v>
      </c>
      <c r="P27" s="277" t="e">
        <f>#REF!/50</f>
        <v>#REF!</v>
      </c>
      <c r="Q27" s="173"/>
      <c r="R27" s="173" t="e">
        <f t="shared" si="9"/>
        <v>#REF!</v>
      </c>
      <c r="S27" s="173" t="e">
        <f t="shared" si="5"/>
        <v>#REF!</v>
      </c>
      <c r="T27" s="173" t="e">
        <f t="shared" si="5"/>
        <v>#REF!</v>
      </c>
      <c r="U27" s="173"/>
      <c r="V27" s="173"/>
      <c r="W27" s="173"/>
      <c r="X27" s="173"/>
      <c r="Y27" s="173"/>
      <c r="Z27" s="302">
        <f>ROUND(M27/110/10,0)</f>
        <v>3</v>
      </c>
      <c r="AA27" s="303">
        <v>2</v>
      </c>
      <c r="AB27" s="304">
        <f t="shared" si="12"/>
        <v>4</v>
      </c>
      <c r="AC27" s="277">
        <f t="shared" si="13"/>
        <v>2</v>
      </c>
      <c r="AD27" s="277">
        <f t="shared" ref="AD27:AD90" si="17">AA27/3</f>
        <v>0.66666666666666663</v>
      </c>
      <c r="AE27" s="305">
        <v>1</v>
      </c>
      <c r="AF27" s="283">
        <v>2</v>
      </c>
      <c r="AG27" s="284"/>
      <c r="AH27" s="148"/>
      <c r="AI27" s="148"/>
      <c r="AJ27" s="148"/>
      <c r="AK27" s="148"/>
      <c r="AL27" s="148"/>
      <c r="AM27" s="148"/>
      <c r="AN27" s="148"/>
      <c r="AO27" s="148"/>
      <c r="AP27" s="150"/>
      <c r="AQ27" s="154"/>
    </row>
    <row r="28" spans="1:43" ht="17.25" thickTop="1" thickBot="1" x14ac:dyDescent="0.3">
      <c r="A28" s="138" t="s">
        <v>145</v>
      </c>
      <c r="B28" s="153" t="s">
        <v>147</v>
      </c>
      <c r="C28" s="140">
        <v>2924</v>
      </c>
      <c r="D28" s="141">
        <v>0.2027012789445688</v>
      </c>
      <c r="E28" s="141">
        <v>0.68782908346160465</v>
      </c>
      <c r="F28" s="141">
        <v>0.10946963759382654</v>
      </c>
      <c r="G28" s="142">
        <f t="shared" si="0"/>
        <v>592.69853963391915</v>
      </c>
      <c r="H28" s="142">
        <f t="shared" si="1"/>
        <v>2011.212240041732</v>
      </c>
      <c r="I28" s="142">
        <f t="shared" si="2"/>
        <v>320.08922032434879</v>
      </c>
      <c r="J28" s="275">
        <f t="shared" ref="J28:J37" si="18">G28*41.7%</f>
        <v>247.1552910273443</v>
      </c>
      <c r="K28" s="275">
        <f t="shared" ref="K28:K37" si="19">H28*41.7%</f>
        <v>838.67550409740227</v>
      </c>
      <c r="L28" s="275">
        <f t="shared" ref="L28:L37" si="20">I28*41.7%</f>
        <v>133.47720487525345</v>
      </c>
      <c r="M28" s="145">
        <f t="shared" si="4"/>
        <v>1219.308</v>
      </c>
      <c r="N28" s="149" t="e">
        <f>#REF!/100</f>
        <v>#REF!</v>
      </c>
      <c r="O28" s="149" t="e">
        <f>#REF!/100</f>
        <v>#REF!</v>
      </c>
      <c r="P28" s="149" t="e">
        <f>#REF!/50</f>
        <v>#REF!</v>
      </c>
      <c r="Q28" s="148"/>
      <c r="R28" s="148" t="e">
        <f t="shared" si="9"/>
        <v>#REF!</v>
      </c>
      <c r="S28" s="148" t="e">
        <f t="shared" si="5"/>
        <v>#REF!</v>
      </c>
      <c r="T28" s="148" t="e">
        <f t="shared" si="5"/>
        <v>#REF!</v>
      </c>
      <c r="U28" s="148"/>
      <c r="V28" s="148"/>
      <c r="W28" s="148"/>
      <c r="X28" s="148"/>
      <c r="Y28" s="148"/>
      <c r="Z28" s="302">
        <f t="shared" ref="Z28:Z37" si="21">ROUND(M28/110/10,0)</f>
        <v>1</v>
      </c>
      <c r="AA28" s="306">
        <v>1</v>
      </c>
      <c r="AB28" s="156">
        <f t="shared" si="12"/>
        <v>2</v>
      </c>
      <c r="AC28" s="149">
        <f t="shared" si="13"/>
        <v>1</v>
      </c>
      <c r="AD28" s="149">
        <f t="shared" si="17"/>
        <v>0.33333333333333331</v>
      </c>
      <c r="AE28" s="307">
        <v>1</v>
      </c>
      <c r="AF28" s="286"/>
      <c r="AG28" s="284"/>
      <c r="AH28" s="148"/>
      <c r="AI28" s="148"/>
      <c r="AJ28" s="148"/>
      <c r="AK28" s="148"/>
      <c r="AL28" s="148"/>
      <c r="AM28" s="148"/>
      <c r="AN28" s="148"/>
      <c r="AO28" s="148"/>
      <c r="AP28" s="150"/>
      <c r="AQ28" s="154"/>
    </row>
    <row r="29" spans="1:43" ht="17.25" thickTop="1" thickBot="1" x14ac:dyDescent="0.3">
      <c r="A29" s="138" t="s">
        <v>145</v>
      </c>
      <c r="B29" s="153" t="s">
        <v>148</v>
      </c>
      <c r="C29" s="140">
        <v>798</v>
      </c>
      <c r="D29" s="141">
        <v>0.62192291119358378</v>
      </c>
      <c r="E29" s="141">
        <v>0.24046814839525735</v>
      </c>
      <c r="F29" s="141">
        <v>0.13760894041115881</v>
      </c>
      <c r="G29" s="142">
        <f t="shared" si="0"/>
        <v>496.29448313247985</v>
      </c>
      <c r="H29" s="142">
        <f t="shared" si="1"/>
        <v>191.89358241941537</v>
      </c>
      <c r="I29" s="142">
        <f t="shared" si="2"/>
        <v>109.81193444810474</v>
      </c>
      <c r="J29" s="275">
        <f t="shared" si="18"/>
        <v>206.95479946624411</v>
      </c>
      <c r="K29" s="275">
        <f t="shared" si="19"/>
        <v>80.019623868896218</v>
      </c>
      <c r="L29" s="275">
        <f t="shared" si="20"/>
        <v>45.791576664859676</v>
      </c>
      <c r="M29" s="145">
        <f t="shared" si="4"/>
        <v>332.76600000000002</v>
      </c>
      <c r="N29" s="149" t="e">
        <f>#REF!/100</f>
        <v>#REF!</v>
      </c>
      <c r="O29" s="149" t="e">
        <f>#REF!/100</f>
        <v>#REF!</v>
      </c>
      <c r="P29" s="149" t="e">
        <f>#REF!/50</f>
        <v>#REF!</v>
      </c>
      <c r="Q29" s="148"/>
      <c r="R29" s="148" t="e">
        <f t="shared" si="9"/>
        <v>#REF!</v>
      </c>
      <c r="S29" s="148" t="e">
        <f t="shared" ref="S29:T45" si="22">ROUND(IF(R29&lt;=15,R29,15),0)</f>
        <v>#REF!</v>
      </c>
      <c r="T29" s="148" t="e">
        <f t="shared" si="22"/>
        <v>#REF!</v>
      </c>
      <c r="U29" s="148"/>
      <c r="V29" s="148"/>
      <c r="W29" s="148"/>
      <c r="X29" s="148"/>
      <c r="Y29" s="148"/>
      <c r="Z29" s="302">
        <f t="shared" si="21"/>
        <v>0</v>
      </c>
      <c r="AA29" s="306">
        <v>1</v>
      </c>
      <c r="AB29" s="156">
        <f t="shared" si="12"/>
        <v>2</v>
      </c>
      <c r="AC29" s="149">
        <f t="shared" si="13"/>
        <v>1</v>
      </c>
      <c r="AD29" s="149">
        <f t="shared" si="17"/>
        <v>0.33333333333333331</v>
      </c>
      <c r="AE29" s="307">
        <v>1</v>
      </c>
      <c r="AF29" s="286"/>
      <c r="AG29" s="284"/>
      <c r="AH29" s="148"/>
      <c r="AI29" s="148"/>
      <c r="AJ29" s="148"/>
      <c r="AK29" s="148"/>
      <c r="AL29" s="148"/>
      <c r="AM29" s="148"/>
      <c r="AN29" s="148"/>
      <c r="AO29" s="148"/>
      <c r="AP29" s="150"/>
      <c r="AQ29" s="154"/>
    </row>
    <row r="30" spans="1:43" ht="17.25" thickTop="1" thickBot="1" x14ac:dyDescent="0.3">
      <c r="A30" s="138" t="s">
        <v>145</v>
      </c>
      <c r="B30" s="153" t="s">
        <v>149</v>
      </c>
      <c r="C30" s="140">
        <v>2127</v>
      </c>
      <c r="D30" s="141">
        <v>0.44251207729468589</v>
      </c>
      <c r="E30" s="141">
        <v>0.30724637681159417</v>
      </c>
      <c r="F30" s="141">
        <v>0.25024154589371983</v>
      </c>
      <c r="G30" s="142">
        <f t="shared" si="0"/>
        <v>941.22318840579692</v>
      </c>
      <c r="H30" s="142">
        <f t="shared" si="1"/>
        <v>653.51304347826078</v>
      </c>
      <c r="I30" s="142">
        <f t="shared" si="2"/>
        <v>532.26376811594207</v>
      </c>
      <c r="J30" s="275">
        <f t="shared" si="18"/>
        <v>392.49006956521737</v>
      </c>
      <c r="K30" s="275">
        <f t="shared" si="19"/>
        <v>272.51493913043475</v>
      </c>
      <c r="L30" s="275">
        <f t="shared" si="20"/>
        <v>221.95399130434785</v>
      </c>
      <c r="M30" s="145">
        <f t="shared" si="4"/>
        <v>886.95899999999995</v>
      </c>
      <c r="N30" s="149" t="e">
        <f>#REF!/100</f>
        <v>#REF!</v>
      </c>
      <c r="O30" s="149" t="e">
        <f>#REF!/100</f>
        <v>#REF!</v>
      </c>
      <c r="P30" s="149" t="e">
        <f>#REF!/50</f>
        <v>#REF!</v>
      </c>
      <c r="Q30" s="148"/>
      <c r="R30" s="148" t="e">
        <f t="shared" si="9"/>
        <v>#REF!</v>
      </c>
      <c r="S30" s="148" t="e">
        <f t="shared" si="22"/>
        <v>#REF!</v>
      </c>
      <c r="T30" s="148" t="e">
        <f t="shared" si="22"/>
        <v>#REF!</v>
      </c>
      <c r="U30" s="148"/>
      <c r="V30" s="148"/>
      <c r="W30" s="148"/>
      <c r="X30" s="148"/>
      <c r="Y30" s="148"/>
      <c r="Z30" s="302">
        <f t="shared" si="21"/>
        <v>1</v>
      </c>
      <c r="AA30" s="306">
        <v>1</v>
      </c>
      <c r="AB30" s="156">
        <f t="shared" si="12"/>
        <v>2</v>
      </c>
      <c r="AC30" s="149">
        <f t="shared" si="13"/>
        <v>1</v>
      </c>
      <c r="AD30" s="149">
        <f t="shared" si="17"/>
        <v>0.33333333333333331</v>
      </c>
      <c r="AE30" s="307">
        <v>1</v>
      </c>
      <c r="AF30" s="286"/>
      <c r="AG30" s="284"/>
      <c r="AH30" s="148"/>
      <c r="AI30" s="148"/>
      <c r="AJ30" s="148"/>
      <c r="AK30" s="148"/>
      <c r="AL30" s="148"/>
      <c r="AM30" s="148"/>
      <c r="AN30" s="148"/>
      <c r="AO30" s="148"/>
      <c r="AP30" s="150"/>
      <c r="AQ30" s="154"/>
    </row>
    <row r="31" spans="1:43" ht="17.25" thickTop="1" thickBot="1" x14ac:dyDescent="0.3">
      <c r="A31" s="138" t="s">
        <v>145</v>
      </c>
      <c r="B31" s="153" t="s">
        <v>150</v>
      </c>
      <c r="C31" s="140">
        <v>3456</v>
      </c>
      <c r="D31" s="141">
        <v>0.35189742077779218</v>
      </c>
      <c r="E31" s="141">
        <v>0.28102976112853012</v>
      </c>
      <c r="F31" s="141">
        <v>0.36707281809367742</v>
      </c>
      <c r="G31" s="142">
        <f t="shared" si="0"/>
        <v>1216.1574862080497</v>
      </c>
      <c r="H31" s="142">
        <f t="shared" si="1"/>
        <v>971.23885446020006</v>
      </c>
      <c r="I31" s="142">
        <f t="shared" si="2"/>
        <v>1268.6036593317492</v>
      </c>
      <c r="J31" s="275">
        <f t="shared" si="18"/>
        <v>507.13767174875676</v>
      </c>
      <c r="K31" s="275">
        <f t="shared" si="19"/>
        <v>405.00660230990349</v>
      </c>
      <c r="L31" s="275">
        <f t="shared" si="20"/>
        <v>529.00772594133946</v>
      </c>
      <c r="M31" s="145">
        <f t="shared" si="4"/>
        <v>1441.1519999999996</v>
      </c>
      <c r="N31" s="149" t="e">
        <f>#REF!/100</f>
        <v>#REF!</v>
      </c>
      <c r="O31" s="149" t="e">
        <f>#REF!/100</f>
        <v>#REF!</v>
      </c>
      <c r="P31" s="149" t="e">
        <f>#REF!/50</f>
        <v>#REF!</v>
      </c>
      <c r="Q31" s="148"/>
      <c r="R31" s="148" t="e">
        <f t="shared" si="9"/>
        <v>#REF!</v>
      </c>
      <c r="S31" s="148" t="e">
        <f t="shared" si="22"/>
        <v>#REF!</v>
      </c>
      <c r="T31" s="148" t="e">
        <f t="shared" si="22"/>
        <v>#REF!</v>
      </c>
      <c r="U31" s="148"/>
      <c r="V31" s="148"/>
      <c r="W31" s="148"/>
      <c r="X31" s="148"/>
      <c r="Y31" s="148"/>
      <c r="Z31" s="302">
        <f t="shared" si="21"/>
        <v>1</v>
      </c>
      <c r="AA31" s="306">
        <v>1</v>
      </c>
      <c r="AB31" s="156">
        <f t="shared" si="12"/>
        <v>2</v>
      </c>
      <c r="AC31" s="149">
        <f t="shared" si="13"/>
        <v>1</v>
      </c>
      <c r="AD31" s="149">
        <f t="shared" si="17"/>
        <v>0.33333333333333331</v>
      </c>
      <c r="AE31" s="307">
        <v>1</v>
      </c>
      <c r="AF31" s="286"/>
      <c r="AG31" s="284"/>
      <c r="AH31" s="148"/>
      <c r="AI31" s="148"/>
      <c r="AJ31" s="148"/>
      <c r="AK31" s="148"/>
      <c r="AL31" s="148"/>
      <c r="AM31" s="148"/>
      <c r="AN31" s="148"/>
      <c r="AO31" s="148"/>
      <c r="AP31" s="150"/>
      <c r="AQ31" s="154"/>
    </row>
    <row r="32" spans="1:43" ht="17.25" thickTop="1" thickBot="1" x14ac:dyDescent="0.3">
      <c r="A32" s="138" t="s">
        <v>145</v>
      </c>
      <c r="B32" s="153" t="s">
        <v>151</v>
      </c>
      <c r="C32" s="140">
        <v>1329</v>
      </c>
      <c r="D32" s="141">
        <v>0.44532947139753803</v>
      </c>
      <c r="E32" s="141">
        <v>0.47067342505430848</v>
      </c>
      <c r="F32" s="141">
        <v>8.3997103548153512E-2</v>
      </c>
      <c r="G32" s="142">
        <f t="shared" si="0"/>
        <v>591.84286748732802</v>
      </c>
      <c r="H32" s="142">
        <f t="shared" si="1"/>
        <v>625.52498189717596</v>
      </c>
      <c r="I32" s="142">
        <f t="shared" si="2"/>
        <v>111.63215061549602</v>
      </c>
      <c r="J32" s="275">
        <f t="shared" si="18"/>
        <v>246.7984757422158</v>
      </c>
      <c r="K32" s="275">
        <f t="shared" si="19"/>
        <v>260.84391745112242</v>
      </c>
      <c r="L32" s="275">
        <f t="shared" si="20"/>
        <v>46.55060680666184</v>
      </c>
      <c r="M32" s="145">
        <f t="shared" si="4"/>
        <v>554.19299999999998</v>
      </c>
      <c r="N32" s="149" t="e">
        <f>#REF!/100</f>
        <v>#REF!</v>
      </c>
      <c r="O32" s="149" t="e">
        <f>#REF!/100</f>
        <v>#REF!</v>
      </c>
      <c r="P32" s="149" t="e">
        <f>#REF!/50</f>
        <v>#REF!</v>
      </c>
      <c r="Q32" s="148"/>
      <c r="R32" s="148" t="e">
        <f t="shared" si="9"/>
        <v>#REF!</v>
      </c>
      <c r="S32" s="148" t="e">
        <f t="shared" si="22"/>
        <v>#REF!</v>
      </c>
      <c r="T32" s="148" t="e">
        <f t="shared" si="22"/>
        <v>#REF!</v>
      </c>
      <c r="U32" s="148"/>
      <c r="V32" s="148"/>
      <c r="W32" s="148"/>
      <c r="X32" s="148"/>
      <c r="Y32" s="148"/>
      <c r="Z32" s="302">
        <f t="shared" si="21"/>
        <v>1</v>
      </c>
      <c r="AA32" s="306">
        <v>1</v>
      </c>
      <c r="AB32" s="156">
        <f t="shared" si="12"/>
        <v>2</v>
      </c>
      <c r="AC32" s="149">
        <f t="shared" si="13"/>
        <v>1</v>
      </c>
      <c r="AD32" s="149">
        <f t="shared" si="17"/>
        <v>0.33333333333333331</v>
      </c>
      <c r="AE32" s="307">
        <v>1</v>
      </c>
      <c r="AF32" s="286"/>
      <c r="AG32" s="284"/>
      <c r="AH32" s="148"/>
      <c r="AI32" s="148"/>
      <c r="AJ32" s="148"/>
      <c r="AK32" s="148"/>
      <c r="AL32" s="148"/>
      <c r="AM32" s="148"/>
      <c r="AN32" s="148"/>
      <c r="AO32" s="148"/>
      <c r="AP32" s="150"/>
      <c r="AQ32" s="154"/>
    </row>
    <row r="33" spans="1:43" ht="17.25" thickTop="1" thickBot="1" x14ac:dyDescent="0.3">
      <c r="A33" s="138" t="s">
        <v>145</v>
      </c>
      <c r="B33" s="153" t="s">
        <v>152</v>
      </c>
      <c r="C33" s="140">
        <v>798</v>
      </c>
      <c r="D33" s="141">
        <v>1</v>
      </c>
      <c r="E33" s="141">
        <v>0</v>
      </c>
      <c r="F33" s="141">
        <v>0</v>
      </c>
      <c r="G33" s="142">
        <f t="shared" si="0"/>
        <v>798</v>
      </c>
      <c r="H33" s="142">
        <f t="shared" si="1"/>
        <v>0</v>
      </c>
      <c r="I33" s="142">
        <f t="shared" si="2"/>
        <v>0</v>
      </c>
      <c r="J33" s="275">
        <f t="shared" si="18"/>
        <v>332.76600000000002</v>
      </c>
      <c r="K33" s="275">
        <f t="shared" si="19"/>
        <v>0</v>
      </c>
      <c r="L33" s="275">
        <f t="shared" si="20"/>
        <v>0</v>
      </c>
      <c r="M33" s="145">
        <f t="shared" si="4"/>
        <v>332.76600000000002</v>
      </c>
      <c r="N33" s="149" t="e">
        <f>#REF!/100</f>
        <v>#REF!</v>
      </c>
      <c r="O33" s="149" t="e">
        <f>#REF!/100</f>
        <v>#REF!</v>
      </c>
      <c r="P33" s="149" t="e">
        <f>#REF!/50</f>
        <v>#REF!</v>
      </c>
      <c r="Q33" s="148"/>
      <c r="R33" s="148" t="e">
        <f t="shared" si="9"/>
        <v>#REF!</v>
      </c>
      <c r="S33" s="148" t="e">
        <f t="shared" si="22"/>
        <v>#REF!</v>
      </c>
      <c r="T33" s="148" t="e">
        <f t="shared" si="22"/>
        <v>#REF!</v>
      </c>
      <c r="U33" s="148"/>
      <c r="V33" s="148"/>
      <c r="W33" s="148"/>
      <c r="X33" s="148"/>
      <c r="Y33" s="148"/>
      <c r="Z33" s="302">
        <f t="shared" si="21"/>
        <v>0</v>
      </c>
      <c r="AA33" s="306">
        <v>1</v>
      </c>
      <c r="AB33" s="156">
        <f t="shared" si="12"/>
        <v>2</v>
      </c>
      <c r="AC33" s="149">
        <f t="shared" si="13"/>
        <v>1</v>
      </c>
      <c r="AD33" s="149">
        <f t="shared" si="17"/>
        <v>0.33333333333333331</v>
      </c>
      <c r="AE33" s="307">
        <v>1</v>
      </c>
      <c r="AF33" s="286"/>
      <c r="AG33" s="284"/>
      <c r="AH33" s="148"/>
      <c r="AI33" s="148"/>
      <c r="AJ33" s="148"/>
      <c r="AK33" s="148"/>
      <c r="AL33" s="148"/>
      <c r="AM33" s="148"/>
      <c r="AN33" s="148"/>
      <c r="AO33" s="148"/>
      <c r="AP33" s="150"/>
      <c r="AQ33" s="154"/>
    </row>
    <row r="34" spans="1:43" ht="17.25" thickTop="1" thickBot="1" x14ac:dyDescent="0.3">
      <c r="A34" s="138" t="s">
        <v>145</v>
      </c>
      <c r="B34" s="153" t="s">
        <v>153</v>
      </c>
      <c r="C34" s="140">
        <v>1063</v>
      </c>
      <c r="D34" s="141">
        <v>1</v>
      </c>
      <c r="E34" s="141">
        <v>0</v>
      </c>
      <c r="F34" s="141">
        <v>0</v>
      </c>
      <c r="G34" s="142">
        <f t="shared" si="0"/>
        <v>1063</v>
      </c>
      <c r="H34" s="142">
        <f t="shared" si="1"/>
        <v>0</v>
      </c>
      <c r="I34" s="142">
        <f t="shared" si="2"/>
        <v>0</v>
      </c>
      <c r="J34" s="275">
        <f t="shared" si="18"/>
        <v>443.27100000000002</v>
      </c>
      <c r="K34" s="275">
        <f t="shared" si="19"/>
        <v>0</v>
      </c>
      <c r="L34" s="275">
        <f t="shared" si="20"/>
        <v>0</v>
      </c>
      <c r="M34" s="145">
        <f t="shared" si="4"/>
        <v>443.27100000000002</v>
      </c>
      <c r="N34" s="149" t="e">
        <f>#REF!/100</f>
        <v>#REF!</v>
      </c>
      <c r="O34" s="149" t="e">
        <f>#REF!/100</f>
        <v>#REF!</v>
      </c>
      <c r="P34" s="149" t="e">
        <f>#REF!/50</f>
        <v>#REF!</v>
      </c>
      <c r="Q34" s="148"/>
      <c r="R34" s="148" t="e">
        <f t="shared" si="9"/>
        <v>#REF!</v>
      </c>
      <c r="S34" s="148" t="e">
        <f t="shared" si="22"/>
        <v>#REF!</v>
      </c>
      <c r="T34" s="148" t="e">
        <f t="shared" si="22"/>
        <v>#REF!</v>
      </c>
      <c r="U34" s="148"/>
      <c r="V34" s="148"/>
      <c r="W34" s="148"/>
      <c r="X34" s="148"/>
      <c r="Y34" s="148"/>
      <c r="Z34" s="302">
        <f t="shared" si="21"/>
        <v>0</v>
      </c>
      <c r="AA34" s="306">
        <v>1</v>
      </c>
      <c r="AB34" s="156">
        <f t="shared" si="12"/>
        <v>2</v>
      </c>
      <c r="AC34" s="149">
        <f t="shared" si="13"/>
        <v>1</v>
      </c>
      <c r="AD34" s="149">
        <f t="shared" si="17"/>
        <v>0.33333333333333331</v>
      </c>
      <c r="AE34" s="307">
        <v>1</v>
      </c>
      <c r="AF34" s="286"/>
      <c r="AG34" s="284"/>
      <c r="AH34" s="148"/>
      <c r="AI34" s="148"/>
      <c r="AJ34" s="148"/>
      <c r="AK34" s="148"/>
      <c r="AL34" s="148"/>
      <c r="AM34" s="148"/>
      <c r="AN34" s="148"/>
      <c r="AO34" s="148"/>
      <c r="AP34" s="150"/>
      <c r="AQ34" s="154"/>
    </row>
    <row r="35" spans="1:43" ht="17.25" thickTop="1" thickBot="1" x14ac:dyDescent="0.3">
      <c r="A35" s="138" t="s">
        <v>145</v>
      </c>
      <c r="B35" s="153" t="s">
        <v>154</v>
      </c>
      <c r="C35" s="140">
        <v>1063</v>
      </c>
      <c r="D35" s="141">
        <v>0.7760551248923343</v>
      </c>
      <c r="E35" s="141">
        <v>0.22394487510766581</v>
      </c>
      <c r="F35" s="141">
        <v>0</v>
      </c>
      <c r="G35" s="142">
        <f t="shared" si="0"/>
        <v>824.94659776055141</v>
      </c>
      <c r="H35" s="142">
        <f t="shared" si="1"/>
        <v>238.05340223944876</v>
      </c>
      <c r="I35" s="142">
        <f t="shared" si="2"/>
        <v>0</v>
      </c>
      <c r="J35" s="275">
        <f t="shared" si="18"/>
        <v>344.00273126614996</v>
      </c>
      <c r="K35" s="275">
        <f t="shared" si="19"/>
        <v>99.268268733850135</v>
      </c>
      <c r="L35" s="275">
        <f t="shared" si="20"/>
        <v>0</v>
      </c>
      <c r="M35" s="145">
        <f t="shared" si="4"/>
        <v>443.27100000000007</v>
      </c>
      <c r="N35" s="149" t="e">
        <f>#REF!/100</f>
        <v>#REF!</v>
      </c>
      <c r="O35" s="149" t="e">
        <f>#REF!/100</f>
        <v>#REF!</v>
      </c>
      <c r="P35" s="149" t="e">
        <f>#REF!/50</f>
        <v>#REF!</v>
      </c>
      <c r="Q35" s="148"/>
      <c r="R35" s="148" t="e">
        <f t="shared" si="9"/>
        <v>#REF!</v>
      </c>
      <c r="S35" s="148" t="e">
        <f t="shared" si="22"/>
        <v>#REF!</v>
      </c>
      <c r="T35" s="148" t="e">
        <f t="shared" si="22"/>
        <v>#REF!</v>
      </c>
      <c r="U35" s="148"/>
      <c r="V35" s="148"/>
      <c r="W35" s="148"/>
      <c r="X35" s="148"/>
      <c r="Y35" s="148"/>
      <c r="Z35" s="302">
        <f t="shared" si="21"/>
        <v>0</v>
      </c>
      <c r="AA35" s="306">
        <v>1</v>
      </c>
      <c r="AB35" s="156">
        <f t="shared" si="12"/>
        <v>2</v>
      </c>
      <c r="AC35" s="149">
        <f t="shared" si="13"/>
        <v>1</v>
      </c>
      <c r="AD35" s="149">
        <f t="shared" si="17"/>
        <v>0.33333333333333331</v>
      </c>
      <c r="AE35" s="307">
        <v>1</v>
      </c>
      <c r="AF35" s="286"/>
      <c r="AG35" s="284"/>
      <c r="AH35" s="148"/>
      <c r="AI35" s="148"/>
      <c r="AJ35" s="148"/>
      <c r="AK35" s="148"/>
      <c r="AL35" s="148"/>
      <c r="AM35" s="148"/>
      <c r="AN35" s="148"/>
      <c r="AO35" s="148"/>
      <c r="AP35" s="150"/>
      <c r="AQ35" s="154"/>
    </row>
    <row r="36" spans="1:43" ht="17.25" thickTop="1" thickBot="1" x14ac:dyDescent="0.3">
      <c r="A36" s="138" t="s">
        <v>145</v>
      </c>
      <c r="B36" s="153" t="s">
        <v>155</v>
      </c>
      <c r="C36" s="140">
        <v>3988</v>
      </c>
      <c r="D36" s="141">
        <v>0.20344216086271988</v>
      </c>
      <c r="E36" s="141">
        <v>0.79655783913728018</v>
      </c>
      <c r="F36" s="141">
        <v>0</v>
      </c>
      <c r="G36" s="142">
        <f t="shared" si="0"/>
        <v>811.32733752052684</v>
      </c>
      <c r="H36" s="142">
        <f t="shared" si="1"/>
        <v>3176.6726624794733</v>
      </c>
      <c r="I36" s="142">
        <f t="shared" si="2"/>
        <v>0</v>
      </c>
      <c r="J36" s="275">
        <f t="shared" si="18"/>
        <v>338.32349974605972</v>
      </c>
      <c r="K36" s="275">
        <f t="shared" si="19"/>
        <v>1324.6725002539404</v>
      </c>
      <c r="L36" s="275">
        <f t="shared" si="20"/>
        <v>0</v>
      </c>
      <c r="M36" s="145">
        <f t="shared" si="4"/>
        <v>1662.9960000000001</v>
      </c>
      <c r="N36" s="149" t="e">
        <f>#REF!/100</f>
        <v>#REF!</v>
      </c>
      <c r="O36" s="149" t="e">
        <f>#REF!/100</f>
        <v>#REF!</v>
      </c>
      <c r="P36" s="149" t="e">
        <f>#REF!/50</f>
        <v>#REF!</v>
      </c>
      <c r="Q36" s="148"/>
      <c r="R36" s="148" t="e">
        <f t="shared" si="9"/>
        <v>#REF!</v>
      </c>
      <c r="S36" s="148" t="e">
        <f t="shared" si="22"/>
        <v>#REF!</v>
      </c>
      <c r="T36" s="148" t="e">
        <f t="shared" si="22"/>
        <v>#REF!</v>
      </c>
      <c r="U36" s="148"/>
      <c r="V36" s="148"/>
      <c r="W36" s="148"/>
      <c r="X36" s="148"/>
      <c r="Y36" s="148"/>
      <c r="Z36" s="302">
        <f t="shared" si="21"/>
        <v>2</v>
      </c>
      <c r="AA36" s="306">
        <v>1</v>
      </c>
      <c r="AB36" s="156">
        <f t="shared" si="12"/>
        <v>2</v>
      </c>
      <c r="AC36" s="149">
        <f t="shared" si="13"/>
        <v>1</v>
      </c>
      <c r="AD36" s="149">
        <f t="shared" si="17"/>
        <v>0.33333333333333331</v>
      </c>
      <c r="AE36" s="307">
        <v>1</v>
      </c>
      <c r="AF36" s="286"/>
      <c r="AG36" s="284"/>
      <c r="AH36" s="148"/>
      <c r="AI36" s="148"/>
      <c r="AJ36" s="148"/>
      <c r="AK36" s="148"/>
      <c r="AL36" s="148"/>
      <c r="AM36" s="148"/>
      <c r="AN36" s="148"/>
      <c r="AO36" s="148"/>
      <c r="AP36" s="150"/>
      <c r="AQ36" s="154"/>
    </row>
    <row r="37" spans="1:43" ht="17.25" thickTop="1" thickBot="1" x14ac:dyDescent="0.3">
      <c r="A37" s="138" t="s">
        <v>145</v>
      </c>
      <c r="B37" s="153" t="s">
        <v>156</v>
      </c>
      <c r="C37" s="140">
        <v>1861</v>
      </c>
      <c r="D37" s="141">
        <v>0.51418346276751181</v>
      </c>
      <c r="E37" s="141">
        <v>0.48581653723248802</v>
      </c>
      <c r="F37" s="141">
        <v>0</v>
      </c>
      <c r="G37" s="142">
        <f t="shared" si="0"/>
        <v>956.89542421033946</v>
      </c>
      <c r="H37" s="142">
        <f t="shared" si="1"/>
        <v>904.1045757896602</v>
      </c>
      <c r="I37" s="142">
        <f t="shared" si="2"/>
        <v>0</v>
      </c>
      <c r="J37" s="275">
        <f t="shared" si="18"/>
        <v>399.02539189571161</v>
      </c>
      <c r="K37" s="275">
        <f t="shared" si="19"/>
        <v>377.01160810428831</v>
      </c>
      <c r="L37" s="275">
        <f t="shared" si="20"/>
        <v>0</v>
      </c>
      <c r="M37" s="145">
        <f t="shared" si="4"/>
        <v>776.03699999999992</v>
      </c>
      <c r="N37" s="149" t="e">
        <f>#REF!/100</f>
        <v>#REF!</v>
      </c>
      <c r="O37" s="149" t="e">
        <f>#REF!/100</f>
        <v>#REF!</v>
      </c>
      <c r="P37" s="149" t="e">
        <f>#REF!/50</f>
        <v>#REF!</v>
      </c>
      <c r="Q37" s="148"/>
      <c r="R37" s="148" t="e">
        <f t="shared" si="9"/>
        <v>#REF!</v>
      </c>
      <c r="S37" s="148" t="e">
        <f t="shared" si="22"/>
        <v>#REF!</v>
      </c>
      <c r="T37" s="148" t="e">
        <f t="shared" si="22"/>
        <v>#REF!</v>
      </c>
      <c r="U37" s="148"/>
      <c r="V37" s="148"/>
      <c r="W37" s="148"/>
      <c r="X37" s="148"/>
      <c r="Y37" s="148"/>
      <c r="Z37" s="302">
        <f t="shared" si="21"/>
        <v>1</v>
      </c>
      <c r="AA37" s="306">
        <v>1</v>
      </c>
      <c r="AB37" s="156">
        <f t="shared" si="12"/>
        <v>2</v>
      </c>
      <c r="AC37" s="149">
        <f t="shared" si="13"/>
        <v>1</v>
      </c>
      <c r="AD37" s="149">
        <f t="shared" si="17"/>
        <v>0.33333333333333331</v>
      </c>
      <c r="AE37" s="307">
        <v>1</v>
      </c>
      <c r="AF37" s="286"/>
      <c r="AG37" s="284"/>
      <c r="AH37" s="148"/>
      <c r="AI37" s="148"/>
      <c r="AJ37" s="148"/>
      <c r="AK37" s="148"/>
      <c r="AL37" s="148"/>
      <c r="AM37" s="148"/>
      <c r="AN37" s="148"/>
      <c r="AO37" s="148"/>
      <c r="AP37" s="150"/>
      <c r="AQ37" s="154"/>
    </row>
    <row r="38" spans="1:43" ht="19.5" thickTop="1" thickBot="1" x14ac:dyDescent="0.3">
      <c r="A38" s="138"/>
      <c r="B38" s="153"/>
      <c r="C38" s="308">
        <f>SUM(C27:C37)</f>
        <v>26586</v>
      </c>
      <c r="D38" s="141"/>
      <c r="E38" s="141"/>
      <c r="F38" s="141"/>
      <c r="G38" s="308">
        <f>SUM(G27:G37)</f>
        <v>13457.050217761533</v>
      </c>
      <c r="H38" s="308">
        <f t="shared" ref="H38:AF38" si="23">SUM(H27:H37)</f>
        <v>10600.004478477484</v>
      </c>
      <c r="I38" s="308">
        <f t="shared" si="23"/>
        <v>2528.9453037609806</v>
      </c>
      <c r="J38" s="308">
        <f t="shared" si="23"/>
        <v>5611.5899408065588</v>
      </c>
      <c r="K38" s="308">
        <f t="shared" si="23"/>
        <v>4420.2018675251102</v>
      </c>
      <c r="L38" s="308">
        <f t="shared" si="23"/>
        <v>1054.570191668329</v>
      </c>
      <c r="M38" s="308">
        <f t="shared" si="23"/>
        <v>11086.361999999997</v>
      </c>
      <c r="N38" s="308" t="e">
        <f t="shared" si="23"/>
        <v>#REF!</v>
      </c>
      <c r="O38" s="308" t="e">
        <f t="shared" si="23"/>
        <v>#REF!</v>
      </c>
      <c r="P38" s="308" t="e">
        <f t="shared" si="23"/>
        <v>#REF!</v>
      </c>
      <c r="Q38" s="308">
        <f t="shared" si="23"/>
        <v>0</v>
      </c>
      <c r="R38" s="308" t="e">
        <f t="shared" si="23"/>
        <v>#REF!</v>
      </c>
      <c r="S38" s="308" t="e">
        <f t="shared" si="23"/>
        <v>#REF!</v>
      </c>
      <c r="T38" s="308" t="e">
        <f t="shared" si="23"/>
        <v>#REF!</v>
      </c>
      <c r="U38" s="308">
        <f t="shared" si="23"/>
        <v>0</v>
      </c>
      <c r="V38" s="308">
        <f t="shared" si="23"/>
        <v>0</v>
      </c>
      <c r="W38" s="308">
        <f t="shared" si="23"/>
        <v>0</v>
      </c>
      <c r="X38" s="308">
        <f t="shared" si="23"/>
        <v>0</v>
      </c>
      <c r="Y38" s="308">
        <f t="shared" si="23"/>
        <v>0</v>
      </c>
      <c r="Z38" s="308">
        <f t="shared" si="23"/>
        <v>10</v>
      </c>
      <c r="AA38" s="308">
        <f t="shared" si="23"/>
        <v>12</v>
      </c>
      <c r="AB38" s="308">
        <f t="shared" si="23"/>
        <v>24</v>
      </c>
      <c r="AC38" s="308">
        <f t="shared" si="23"/>
        <v>12</v>
      </c>
      <c r="AD38" s="308">
        <f t="shared" si="23"/>
        <v>4</v>
      </c>
      <c r="AE38" s="309">
        <f t="shared" si="23"/>
        <v>11</v>
      </c>
      <c r="AF38" s="310">
        <f t="shared" si="23"/>
        <v>2</v>
      </c>
      <c r="AG38" s="284"/>
      <c r="AH38" s="148"/>
      <c r="AI38" s="148"/>
      <c r="AJ38" s="148"/>
      <c r="AK38" s="148"/>
      <c r="AL38" s="148"/>
      <c r="AM38" s="148"/>
      <c r="AN38" s="148"/>
      <c r="AO38" s="148"/>
      <c r="AP38" s="150"/>
      <c r="AQ38" s="154"/>
    </row>
    <row r="39" spans="1:43" ht="17.25" thickTop="1" thickBot="1" x14ac:dyDescent="0.3">
      <c r="A39" s="138" t="s">
        <v>157</v>
      </c>
      <c r="B39" s="153" t="s">
        <v>158</v>
      </c>
      <c r="C39" s="140">
        <v>12726</v>
      </c>
      <c r="D39" s="141">
        <v>0.33999656473047296</v>
      </c>
      <c r="E39" s="141">
        <v>0.66000343526952698</v>
      </c>
      <c r="F39" s="141">
        <v>0</v>
      </c>
      <c r="G39" s="142">
        <f t="shared" si="0"/>
        <v>4326.7962827599986</v>
      </c>
      <c r="H39" s="142">
        <f t="shared" si="1"/>
        <v>8399.2037172399996</v>
      </c>
      <c r="I39" s="142">
        <f t="shared" si="2"/>
        <v>0</v>
      </c>
      <c r="J39" s="143">
        <f>G39*41.7%</f>
        <v>1804.2740499109195</v>
      </c>
      <c r="K39" s="143">
        <f t="shared" ref="K39:L39" si="24">H39*41.7%</f>
        <v>3502.4679500890802</v>
      </c>
      <c r="L39" s="143">
        <f t="shared" si="24"/>
        <v>0</v>
      </c>
      <c r="M39" s="145">
        <f t="shared" si="4"/>
        <v>5306.7420000000002</v>
      </c>
      <c r="N39" s="149" t="e">
        <f>#REF!/100</f>
        <v>#REF!</v>
      </c>
      <c r="O39" s="149" t="e">
        <f>#REF!/100</f>
        <v>#REF!</v>
      </c>
      <c r="P39" s="149" t="e">
        <f>#REF!/50</f>
        <v>#REF!</v>
      </c>
      <c r="Q39" s="148"/>
      <c r="R39" s="148" t="e">
        <f t="shared" si="9"/>
        <v>#REF!</v>
      </c>
      <c r="S39" s="148" t="e">
        <f t="shared" si="22"/>
        <v>#REF!</v>
      </c>
      <c r="T39" s="148" t="e">
        <f t="shared" si="22"/>
        <v>#REF!</v>
      </c>
      <c r="U39" s="148"/>
      <c r="V39" s="148"/>
      <c r="W39" s="148"/>
      <c r="X39" s="148"/>
      <c r="Y39" s="148"/>
      <c r="Z39" s="150">
        <f>ROUND(M39/120/10,0)</f>
        <v>4</v>
      </c>
      <c r="AA39" s="154">
        <v>3</v>
      </c>
      <c r="AB39" s="157">
        <f t="shared" si="12"/>
        <v>6</v>
      </c>
      <c r="AC39" s="149">
        <f t="shared" si="13"/>
        <v>3</v>
      </c>
      <c r="AD39" s="149">
        <f t="shared" si="17"/>
        <v>1</v>
      </c>
      <c r="AE39" s="311">
        <v>1</v>
      </c>
      <c r="AF39" s="286"/>
      <c r="AG39" s="284"/>
      <c r="AH39" s="148"/>
      <c r="AI39" s="148"/>
      <c r="AJ39" s="148"/>
      <c r="AK39" s="148"/>
      <c r="AL39" s="148"/>
      <c r="AM39" s="148"/>
      <c r="AN39" s="148"/>
      <c r="AO39" s="148"/>
      <c r="AP39" s="150"/>
      <c r="AQ39" s="154"/>
    </row>
    <row r="40" spans="1:43" ht="17.25" thickTop="1" thickBot="1" x14ac:dyDescent="0.3">
      <c r="A40" s="138" t="s">
        <v>157</v>
      </c>
      <c r="B40" s="153" t="s">
        <v>159</v>
      </c>
      <c r="C40" s="140">
        <v>21982</v>
      </c>
      <c r="D40" s="141">
        <v>0.33999656473047296</v>
      </c>
      <c r="E40" s="141">
        <v>0.66000343526952698</v>
      </c>
      <c r="F40" s="141">
        <v>0</v>
      </c>
      <c r="G40" s="142">
        <f t="shared" si="0"/>
        <v>7473.804485905257</v>
      </c>
      <c r="H40" s="142">
        <f t="shared" si="1"/>
        <v>14508.195514094743</v>
      </c>
      <c r="I40" s="142">
        <f t="shared" si="2"/>
        <v>0</v>
      </c>
      <c r="J40" s="143">
        <f t="shared" ref="J40:J46" si="25">G40*41.7%</f>
        <v>3116.5764706224923</v>
      </c>
      <c r="K40" s="143">
        <f t="shared" ref="K40:K46" si="26">H40*41.7%</f>
        <v>6049.9175293775088</v>
      </c>
      <c r="L40" s="143">
        <f t="shared" ref="L40:L46" si="27">I40*41.7%</f>
        <v>0</v>
      </c>
      <c r="M40" s="145">
        <f t="shared" si="4"/>
        <v>9166.4940000000006</v>
      </c>
      <c r="N40" s="149" t="e">
        <f>#REF!/100</f>
        <v>#REF!</v>
      </c>
      <c r="O40" s="149" t="e">
        <f>#REF!/100</f>
        <v>#REF!</v>
      </c>
      <c r="P40" s="149" t="e">
        <f>#REF!/50</f>
        <v>#REF!</v>
      </c>
      <c r="Q40" s="148"/>
      <c r="R40" s="148" t="e">
        <f t="shared" si="9"/>
        <v>#REF!</v>
      </c>
      <c r="S40" s="148" t="e">
        <f t="shared" si="22"/>
        <v>#REF!</v>
      </c>
      <c r="T40" s="148" t="e">
        <f t="shared" si="22"/>
        <v>#REF!</v>
      </c>
      <c r="U40" s="148"/>
      <c r="V40" s="148"/>
      <c r="W40" s="148"/>
      <c r="X40" s="148"/>
      <c r="Y40" s="148"/>
      <c r="Z40" s="150">
        <f t="shared" ref="Z40:Z46" si="28">ROUND(M40/120/10,0)</f>
        <v>8</v>
      </c>
      <c r="AA40" s="154">
        <v>6</v>
      </c>
      <c r="AB40" s="157">
        <f t="shared" si="12"/>
        <v>12</v>
      </c>
      <c r="AC40" s="149">
        <f t="shared" si="13"/>
        <v>6</v>
      </c>
      <c r="AD40" s="149">
        <f t="shared" si="17"/>
        <v>2</v>
      </c>
      <c r="AE40" s="311">
        <v>2</v>
      </c>
      <c r="AF40" s="286"/>
      <c r="AG40" s="284"/>
      <c r="AH40" s="148"/>
      <c r="AI40" s="148"/>
      <c r="AJ40" s="148"/>
      <c r="AK40" s="148"/>
      <c r="AL40" s="148"/>
      <c r="AM40" s="148"/>
      <c r="AN40" s="148"/>
      <c r="AO40" s="148"/>
      <c r="AP40" s="150"/>
      <c r="AQ40" s="154"/>
    </row>
    <row r="41" spans="1:43" ht="17.25" thickTop="1" thickBot="1" x14ac:dyDescent="0.3">
      <c r="A41" s="138" t="s">
        <v>157</v>
      </c>
      <c r="B41" s="153" t="s">
        <v>160</v>
      </c>
      <c r="C41" s="140">
        <v>6942</v>
      </c>
      <c r="D41" s="141">
        <v>0.33999656473047296</v>
      </c>
      <c r="E41" s="141">
        <v>0.66000343526952698</v>
      </c>
      <c r="F41" s="141">
        <v>0</v>
      </c>
      <c r="G41" s="142">
        <f t="shared" si="0"/>
        <v>2360.2561523589434</v>
      </c>
      <c r="H41" s="142">
        <f t="shared" si="1"/>
        <v>4581.7438476410562</v>
      </c>
      <c r="I41" s="142">
        <f t="shared" si="2"/>
        <v>0</v>
      </c>
      <c r="J41" s="143">
        <f t="shared" si="25"/>
        <v>984.22681553367943</v>
      </c>
      <c r="K41" s="143">
        <f t="shared" si="26"/>
        <v>1910.5871844663207</v>
      </c>
      <c r="L41" s="143">
        <f t="shared" si="27"/>
        <v>0</v>
      </c>
      <c r="M41" s="145">
        <f t="shared" si="4"/>
        <v>2894.8140000000003</v>
      </c>
      <c r="N41" s="149" t="e">
        <f>#REF!/100</f>
        <v>#REF!</v>
      </c>
      <c r="O41" s="149" t="e">
        <f>#REF!/100</f>
        <v>#REF!</v>
      </c>
      <c r="P41" s="149" t="e">
        <f>#REF!/50</f>
        <v>#REF!</v>
      </c>
      <c r="Q41" s="148"/>
      <c r="R41" s="148" t="e">
        <f t="shared" si="9"/>
        <v>#REF!</v>
      </c>
      <c r="S41" s="148" t="e">
        <f t="shared" si="22"/>
        <v>#REF!</v>
      </c>
      <c r="T41" s="148" t="e">
        <f t="shared" si="22"/>
        <v>#REF!</v>
      </c>
      <c r="U41" s="148"/>
      <c r="V41" s="148"/>
      <c r="W41" s="148"/>
      <c r="X41" s="148"/>
      <c r="Y41" s="148"/>
      <c r="Z41" s="150">
        <f t="shared" si="28"/>
        <v>2</v>
      </c>
      <c r="AA41" s="154">
        <v>2</v>
      </c>
      <c r="AB41" s="157">
        <f t="shared" si="12"/>
        <v>4</v>
      </c>
      <c r="AC41" s="149">
        <f t="shared" si="13"/>
        <v>2</v>
      </c>
      <c r="AD41" s="149">
        <f t="shared" si="17"/>
        <v>0.66666666666666663</v>
      </c>
      <c r="AE41" s="311">
        <v>1</v>
      </c>
      <c r="AF41" s="286"/>
      <c r="AG41" s="284"/>
      <c r="AH41" s="148"/>
      <c r="AI41" s="148"/>
      <c r="AJ41" s="148"/>
      <c r="AK41" s="148"/>
      <c r="AL41" s="148"/>
      <c r="AM41" s="148"/>
      <c r="AN41" s="148"/>
      <c r="AO41" s="148"/>
      <c r="AP41" s="150"/>
      <c r="AQ41" s="154"/>
    </row>
    <row r="42" spans="1:43" ht="17.25" thickTop="1" thickBot="1" x14ac:dyDescent="0.3">
      <c r="A42" s="138" t="s">
        <v>157</v>
      </c>
      <c r="B42" s="153" t="s">
        <v>161</v>
      </c>
      <c r="C42" s="140">
        <v>9256</v>
      </c>
      <c r="D42" s="141">
        <v>0.34</v>
      </c>
      <c r="E42" s="141">
        <v>0.59</v>
      </c>
      <c r="F42" s="141">
        <v>7.0000000000000007E-2</v>
      </c>
      <c r="G42" s="142">
        <f t="shared" si="0"/>
        <v>3147.0400000000004</v>
      </c>
      <c r="H42" s="142">
        <f t="shared" si="1"/>
        <v>5461.04</v>
      </c>
      <c r="I42" s="142">
        <f t="shared" si="2"/>
        <v>647.92000000000007</v>
      </c>
      <c r="J42" s="143">
        <f t="shared" si="25"/>
        <v>1312.3156800000004</v>
      </c>
      <c r="K42" s="143">
        <f t="shared" si="26"/>
        <v>2277.2536800000003</v>
      </c>
      <c r="L42" s="143">
        <f t="shared" si="27"/>
        <v>270.18264000000005</v>
      </c>
      <c r="M42" s="145">
        <f t="shared" si="4"/>
        <v>3859.7520000000004</v>
      </c>
      <c r="N42" s="149" t="e">
        <f>#REF!/100</f>
        <v>#REF!</v>
      </c>
      <c r="O42" s="149" t="e">
        <f>#REF!/100</f>
        <v>#REF!</v>
      </c>
      <c r="P42" s="149" t="e">
        <f>#REF!/50</f>
        <v>#REF!</v>
      </c>
      <c r="Q42" s="148"/>
      <c r="R42" s="148" t="e">
        <f t="shared" si="9"/>
        <v>#REF!</v>
      </c>
      <c r="S42" s="148" t="e">
        <f t="shared" si="22"/>
        <v>#REF!</v>
      </c>
      <c r="T42" s="148" t="e">
        <f t="shared" si="22"/>
        <v>#REF!</v>
      </c>
      <c r="U42" s="148"/>
      <c r="V42" s="148"/>
      <c r="W42" s="148"/>
      <c r="X42" s="148"/>
      <c r="Y42" s="148"/>
      <c r="Z42" s="150">
        <f t="shared" si="28"/>
        <v>3</v>
      </c>
      <c r="AA42" s="154">
        <v>2</v>
      </c>
      <c r="AB42" s="157">
        <f t="shared" si="12"/>
        <v>4</v>
      </c>
      <c r="AC42" s="149">
        <f t="shared" si="13"/>
        <v>2</v>
      </c>
      <c r="AD42" s="149">
        <f t="shared" si="17"/>
        <v>0.66666666666666663</v>
      </c>
      <c r="AE42" s="311">
        <v>1</v>
      </c>
      <c r="AF42" s="286"/>
      <c r="AG42" s="284"/>
      <c r="AH42" s="148"/>
      <c r="AI42" s="148"/>
      <c r="AJ42" s="148"/>
      <c r="AK42" s="148"/>
      <c r="AL42" s="148"/>
      <c r="AM42" s="148"/>
      <c r="AN42" s="148"/>
      <c r="AO42" s="148"/>
      <c r="AP42" s="150"/>
      <c r="AQ42" s="154"/>
    </row>
    <row r="43" spans="1:43" ht="17.25" thickTop="1" thickBot="1" x14ac:dyDescent="0.3">
      <c r="A43" s="138" t="s">
        <v>157</v>
      </c>
      <c r="B43" s="153" t="s">
        <v>162</v>
      </c>
      <c r="C43" s="140">
        <v>13883</v>
      </c>
      <c r="D43" s="141">
        <v>0.33999656473047296</v>
      </c>
      <c r="E43" s="141">
        <v>0.66000343526952698</v>
      </c>
      <c r="F43" s="141">
        <v>0</v>
      </c>
      <c r="G43" s="142">
        <f t="shared" si="0"/>
        <v>4720.1723081531563</v>
      </c>
      <c r="H43" s="142">
        <f t="shared" si="1"/>
        <v>9162.8276918468437</v>
      </c>
      <c r="I43" s="142">
        <f t="shared" si="2"/>
        <v>0</v>
      </c>
      <c r="J43" s="143">
        <f t="shared" si="25"/>
        <v>1968.3118524998663</v>
      </c>
      <c r="K43" s="143">
        <f t="shared" si="26"/>
        <v>3820.8991475001339</v>
      </c>
      <c r="L43" s="143">
        <f t="shared" si="27"/>
        <v>0</v>
      </c>
      <c r="M43" s="145">
        <f t="shared" si="4"/>
        <v>5789.2110000000002</v>
      </c>
      <c r="N43" s="149" t="e">
        <f>#REF!/100</f>
        <v>#REF!</v>
      </c>
      <c r="O43" s="149" t="e">
        <f>#REF!/100</f>
        <v>#REF!</v>
      </c>
      <c r="P43" s="149" t="e">
        <f>#REF!/50</f>
        <v>#REF!</v>
      </c>
      <c r="Q43" s="148"/>
      <c r="R43" s="148" t="e">
        <f t="shared" si="9"/>
        <v>#REF!</v>
      </c>
      <c r="S43" s="148" t="e">
        <f t="shared" si="22"/>
        <v>#REF!</v>
      </c>
      <c r="T43" s="148" t="e">
        <f t="shared" si="22"/>
        <v>#REF!</v>
      </c>
      <c r="U43" s="148"/>
      <c r="V43" s="148"/>
      <c r="W43" s="148"/>
      <c r="X43" s="148"/>
      <c r="Y43" s="148"/>
      <c r="Z43" s="150">
        <f t="shared" si="28"/>
        <v>5</v>
      </c>
      <c r="AA43" s="154">
        <v>4</v>
      </c>
      <c r="AB43" s="157">
        <f t="shared" si="12"/>
        <v>8</v>
      </c>
      <c r="AC43" s="149">
        <f t="shared" si="13"/>
        <v>4</v>
      </c>
      <c r="AD43" s="149">
        <f t="shared" si="17"/>
        <v>1.3333333333333333</v>
      </c>
      <c r="AE43" s="311">
        <v>1</v>
      </c>
      <c r="AF43" s="286"/>
      <c r="AG43" s="284"/>
      <c r="AH43" s="148"/>
      <c r="AI43" s="148"/>
      <c r="AJ43" s="148"/>
      <c r="AK43" s="148"/>
      <c r="AL43" s="148"/>
      <c r="AM43" s="148"/>
      <c r="AN43" s="148"/>
      <c r="AO43" s="148"/>
      <c r="AP43" s="150"/>
      <c r="AQ43" s="154"/>
    </row>
    <row r="44" spans="1:43" ht="17.25" thickTop="1" thickBot="1" x14ac:dyDescent="0.3">
      <c r="A44" s="138" t="s">
        <v>157</v>
      </c>
      <c r="B44" s="153" t="s">
        <v>163</v>
      </c>
      <c r="C44" s="140">
        <v>10413</v>
      </c>
      <c r="D44" s="141">
        <v>0.33999656473047296</v>
      </c>
      <c r="E44" s="141">
        <v>0.66000343526952698</v>
      </c>
      <c r="F44" s="141">
        <v>0</v>
      </c>
      <c r="G44" s="142">
        <f t="shared" si="0"/>
        <v>3540.3842285384148</v>
      </c>
      <c r="H44" s="142">
        <f t="shared" si="1"/>
        <v>6872.6157714615847</v>
      </c>
      <c r="I44" s="142">
        <f t="shared" si="2"/>
        <v>0</v>
      </c>
      <c r="J44" s="143">
        <f t="shared" si="25"/>
        <v>1476.340223300519</v>
      </c>
      <c r="K44" s="143">
        <f t="shared" si="26"/>
        <v>2865.880776699481</v>
      </c>
      <c r="L44" s="143">
        <f t="shared" si="27"/>
        <v>0</v>
      </c>
      <c r="M44" s="145">
        <f t="shared" si="4"/>
        <v>4342.2209999999995</v>
      </c>
      <c r="N44" s="149" t="e">
        <f>#REF!/100</f>
        <v>#REF!</v>
      </c>
      <c r="O44" s="149" t="e">
        <f>#REF!/100</f>
        <v>#REF!</v>
      </c>
      <c r="P44" s="149" t="e">
        <f>#REF!/50</f>
        <v>#REF!</v>
      </c>
      <c r="Q44" s="148"/>
      <c r="R44" s="148" t="e">
        <f t="shared" si="9"/>
        <v>#REF!</v>
      </c>
      <c r="S44" s="148" t="e">
        <f t="shared" si="22"/>
        <v>#REF!</v>
      </c>
      <c r="T44" s="148" t="e">
        <f t="shared" si="22"/>
        <v>#REF!</v>
      </c>
      <c r="U44" s="148"/>
      <c r="V44" s="148"/>
      <c r="W44" s="148"/>
      <c r="X44" s="148"/>
      <c r="Y44" s="148"/>
      <c r="Z44" s="150">
        <f t="shared" si="28"/>
        <v>4</v>
      </c>
      <c r="AA44" s="154">
        <v>3</v>
      </c>
      <c r="AB44" s="157">
        <f t="shared" si="12"/>
        <v>6</v>
      </c>
      <c r="AC44" s="149">
        <f t="shared" si="13"/>
        <v>3</v>
      </c>
      <c r="AD44" s="149">
        <f t="shared" si="17"/>
        <v>1</v>
      </c>
      <c r="AE44" s="311">
        <v>1</v>
      </c>
      <c r="AF44" s="286"/>
      <c r="AG44" s="284"/>
      <c r="AH44" s="148"/>
      <c r="AI44" s="148"/>
      <c r="AJ44" s="148"/>
      <c r="AK44" s="148"/>
      <c r="AL44" s="148"/>
      <c r="AM44" s="148"/>
      <c r="AN44" s="148"/>
      <c r="AO44" s="148"/>
      <c r="AP44" s="150"/>
      <c r="AQ44" s="154"/>
    </row>
    <row r="45" spans="1:43" ht="17.25" thickTop="1" thickBot="1" x14ac:dyDescent="0.3">
      <c r="A45" s="138" t="s">
        <v>157</v>
      </c>
      <c r="B45" s="153" t="s">
        <v>164</v>
      </c>
      <c r="C45" s="140">
        <v>24296</v>
      </c>
      <c r="D45" s="141">
        <v>0.34</v>
      </c>
      <c r="E45" s="141">
        <v>0.59</v>
      </c>
      <c r="F45" s="141">
        <v>7.0000000000000007E-2</v>
      </c>
      <c r="G45" s="142">
        <f t="shared" si="0"/>
        <v>8260.6400000000012</v>
      </c>
      <c r="H45" s="142">
        <f t="shared" si="1"/>
        <v>14334.64</v>
      </c>
      <c r="I45" s="142">
        <f t="shared" si="2"/>
        <v>1700.7200000000003</v>
      </c>
      <c r="J45" s="143">
        <f t="shared" si="25"/>
        <v>3444.6868800000007</v>
      </c>
      <c r="K45" s="143">
        <f t="shared" si="26"/>
        <v>5977.5448800000004</v>
      </c>
      <c r="L45" s="143">
        <f t="shared" si="27"/>
        <v>709.20024000000012</v>
      </c>
      <c r="M45" s="145">
        <f t="shared" si="4"/>
        <v>10131.432000000001</v>
      </c>
      <c r="N45" s="149" t="e">
        <f>#REF!/100</f>
        <v>#REF!</v>
      </c>
      <c r="O45" s="149" t="e">
        <f>#REF!/100</f>
        <v>#REF!</v>
      </c>
      <c r="P45" s="149" t="e">
        <f>#REF!/50</f>
        <v>#REF!</v>
      </c>
      <c r="Q45" s="148"/>
      <c r="R45" s="148" t="e">
        <f t="shared" si="9"/>
        <v>#REF!</v>
      </c>
      <c r="S45" s="148" t="e">
        <f t="shared" si="22"/>
        <v>#REF!</v>
      </c>
      <c r="T45" s="148" t="e">
        <f t="shared" si="22"/>
        <v>#REF!</v>
      </c>
      <c r="U45" s="148"/>
      <c r="V45" s="148"/>
      <c r="W45" s="148"/>
      <c r="X45" s="148"/>
      <c r="Y45" s="148"/>
      <c r="Z45" s="150">
        <f t="shared" si="28"/>
        <v>8</v>
      </c>
      <c r="AA45" s="154">
        <v>6</v>
      </c>
      <c r="AB45" s="157">
        <f t="shared" si="12"/>
        <v>12</v>
      </c>
      <c r="AC45" s="149">
        <f t="shared" si="13"/>
        <v>6</v>
      </c>
      <c r="AD45" s="149">
        <f t="shared" si="17"/>
        <v>2</v>
      </c>
      <c r="AE45" s="311">
        <v>2</v>
      </c>
      <c r="AF45" s="286">
        <v>3</v>
      </c>
      <c r="AG45" s="284"/>
      <c r="AH45" s="148"/>
      <c r="AI45" s="148"/>
      <c r="AJ45" s="148"/>
      <c r="AK45" s="148"/>
      <c r="AL45" s="148"/>
      <c r="AM45" s="148"/>
      <c r="AN45" s="148"/>
      <c r="AO45" s="148"/>
      <c r="AP45" s="150"/>
      <c r="AQ45" s="154"/>
    </row>
    <row r="46" spans="1:43" ht="17.25" thickTop="1" thickBot="1" x14ac:dyDescent="0.3">
      <c r="A46" s="138" t="s">
        <v>157</v>
      </c>
      <c r="B46" s="153" t="s">
        <v>165</v>
      </c>
      <c r="C46" s="140">
        <v>16197</v>
      </c>
      <c r="D46" s="141">
        <v>0.33999656473047296</v>
      </c>
      <c r="E46" s="141">
        <v>0.66000343526952698</v>
      </c>
      <c r="F46" s="141">
        <v>0</v>
      </c>
      <c r="G46" s="142">
        <f t="shared" si="0"/>
        <v>5506.9243589394709</v>
      </c>
      <c r="H46" s="142">
        <f t="shared" si="1"/>
        <v>10690.075641060528</v>
      </c>
      <c r="I46" s="142">
        <f t="shared" si="2"/>
        <v>0</v>
      </c>
      <c r="J46" s="143">
        <f t="shared" si="25"/>
        <v>2296.3874576777598</v>
      </c>
      <c r="K46" s="143">
        <f t="shared" si="26"/>
        <v>4457.7615423222405</v>
      </c>
      <c r="L46" s="143">
        <f t="shared" si="27"/>
        <v>0</v>
      </c>
      <c r="M46" s="145">
        <f t="shared" ref="M46:M116" si="29">SUM(J46:L46)</f>
        <v>6754.1490000000003</v>
      </c>
      <c r="N46" s="149" t="e">
        <f>#REF!/100</f>
        <v>#REF!</v>
      </c>
      <c r="O46" s="149" t="e">
        <f>#REF!/100</f>
        <v>#REF!</v>
      </c>
      <c r="P46" s="149" t="e">
        <f>#REF!/50</f>
        <v>#REF!</v>
      </c>
      <c r="Q46" s="148"/>
      <c r="R46" s="148" t="e">
        <f t="shared" si="9"/>
        <v>#REF!</v>
      </c>
      <c r="S46" s="148" t="e">
        <f t="shared" ref="S46:T63" si="30">ROUND(IF(R46&lt;=15,R46,15),0)</f>
        <v>#REF!</v>
      </c>
      <c r="T46" s="148" t="e">
        <f t="shared" si="30"/>
        <v>#REF!</v>
      </c>
      <c r="U46" s="148"/>
      <c r="V46" s="148"/>
      <c r="W46" s="148"/>
      <c r="X46" s="148"/>
      <c r="Y46" s="148"/>
      <c r="Z46" s="150">
        <f t="shared" si="28"/>
        <v>6</v>
      </c>
      <c r="AA46" s="154">
        <v>6</v>
      </c>
      <c r="AB46" s="157">
        <f t="shared" si="12"/>
        <v>12</v>
      </c>
      <c r="AC46" s="149">
        <f t="shared" si="13"/>
        <v>6</v>
      </c>
      <c r="AD46" s="149">
        <f t="shared" si="17"/>
        <v>2</v>
      </c>
      <c r="AE46" s="311">
        <v>2</v>
      </c>
      <c r="AF46" s="286"/>
      <c r="AG46" s="284"/>
      <c r="AH46" s="148"/>
      <c r="AI46" s="148"/>
      <c r="AJ46" s="148"/>
      <c r="AK46" s="148"/>
      <c r="AL46" s="148"/>
      <c r="AM46" s="148"/>
      <c r="AN46" s="148"/>
      <c r="AO46" s="148"/>
      <c r="AP46" s="150"/>
      <c r="AQ46" s="154"/>
    </row>
    <row r="47" spans="1:43" ht="19.5" thickTop="1" thickBot="1" x14ac:dyDescent="0.3">
      <c r="A47" s="138"/>
      <c r="B47" s="153"/>
      <c r="C47" s="308">
        <f>SUM(C39:C46)</f>
        <v>115695</v>
      </c>
      <c r="D47" s="141"/>
      <c r="E47" s="141"/>
      <c r="F47" s="141"/>
      <c r="G47" s="308">
        <f>SUM(G39:G46)</f>
        <v>39336.017816655243</v>
      </c>
      <c r="H47" s="308">
        <f t="shared" ref="H47:AF47" si="31">SUM(H39:H46)</f>
        <v>74010.34218334475</v>
      </c>
      <c r="I47" s="308">
        <f t="shared" si="31"/>
        <v>2348.6400000000003</v>
      </c>
      <c r="J47" s="308">
        <f t="shared" si="31"/>
        <v>16403.119429545237</v>
      </c>
      <c r="K47" s="308">
        <f t="shared" si="31"/>
        <v>30862.312690454764</v>
      </c>
      <c r="L47" s="308">
        <f t="shared" si="31"/>
        <v>979.38288000000011</v>
      </c>
      <c r="M47" s="308">
        <f t="shared" si="31"/>
        <v>48244.815000000002</v>
      </c>
      <c r="N47" s="308" t="e">
        <f t="shared" si="31"/>
        <v>#REF!</v>
      </c>
      <c r="O47" s="308" t="e">
        <f t="shared" si="31"/>
        <v>#REF!</v>
      </c>
      <c r="P47" s="308" t="e">
        <f t="shared" si="31"/>
        <v>#REF!</v>
      </c>
      <c r="Q47" s="308">
        <f t="shared" si="31"/>
        <v>0</v>
      </c>
      <c r="R47" s="308" t="e">
        <f t="shared" si="31"/>
        <v>#REF!</v>
      </c>
      <c r="S47" s="308" t="e">
        <f t="shared" si="31"/>
        <v>#REF!</v>
      </c>
      <c r="T47" s="308" t="e">
        <f t="shared" si="31"/>
        <v>#REF!</v>
      </c>
      <c r="U47" s="308">
        <f t="shared" si="31"/>
        <v>0</v>
      </c>
      <c r="V47" s="308">
        <f t="shared" si="31"/>
        <v>0</v>
      </c>
      <c r="W47" s="308">
        <f t="shared" si="31"/>
        <v>0</v>
      </c>
      <c r="X47" s="308">
        <f t="shared" si="31"/>
        <v>0</v>
      </c>
      <c r="Y47" s="308">
        <f t="shared" si="31"/>
        <v>0</v>
      </c>
      <c r="Z47" s="308">
        <f t="shared" si="31"/>
        <v>40</v>
      </c>
      <c r="AA47" s="308">
        <f t="shared" si="31"/>
        <v>32</v>
      </c>
      <c r="AB47" s="308">
        <f t="shared" si="31"/>
        <v>64</v>
      </c>
      <c r="AC47" s="308">
        <f t="shared" si="31"/>
        <v>32</v>
      </c>
      <c r="AD47" s="308">
        <f t="shared" si="31"/>
        <v>10.666666666666666</v>
      </c>
      <c r="AE47" s="309">
        <f t="shared" si="31"/>
        <v>11</v>
      </c>
      <c r="AF47" s="310">
        <f t="shared" si="31"/>
        <v>3</v>
      </c>
      <c r="AG47" s="284"/>
      <c r="AH47" s="148"/>
      <c r="AI47" s="148"/>
      <c r="AJ47" s="148"/>
      <c r="AK47" s="148"/>
      <c r="AL47" s="148"/>
      <c r="AM47" s="148"/>
      <c r="AN47" s="148"/>
      <c r="AO47" s="148"/>
      <c r="AP47" s="150"/>
      <c r="AQ47" s="154"/>
    </row>
    <row r="48" spans="1:43" ht="17.25" thickTop="1" thickBot="1" x14ac:dyDescent="0.3">
      <c r="A48" s="138" t="s">
        <v>166</v>
      </c>
      <c r="B48" s="153" t="s">
        <v>166</v>
      </c>
      <c r="C48" s="140">
        <v>6916</v>
      </c>
      <c r="D48" s="141">
        <v>0.83570169035230124</v>
      </c>
      <c r="E48" s="141">
        <v>5.1768920790730436E-2</v>
      </c>
      <c r="F48" s="141">
        <v>0.11252938885696838</v>
      </c>
      <c r="G48" s="142">
        <f t="shared" si="0"/>
        <v>5779.712890476515</v>
      </c>
      <c r="H48" s="142">
        <f t="shared" si="1"/>
        <v>358.03385618869169</v>
      </c>
      <c r="I48" s="142">
        <f t="shared" si="2"/>
        <v>778.25325333479327</v>
      </c>
      <c r="J48" s="143">
        <f>G48*41.7%</f>
        <v>2410.140275328707</v>
      </c>
      <c r="K48" s="143">
        <f t="shared" ref="K48:L48" si="32">H48*41.7%</f>
        <v>149.30011803068444</v>
      </c>
      <c r="L48" s="143">
        <f t="shared" si="32"/>
        <v>324.5316066406088</v>
      </c>
      <c r="M48" s="145">
        <f t="shared" si="29"/>
        <v>2883.9720000000007</v>
      </c>
      <c r="N48" s="149" t="e">
        <f>#REF!/100</f>
        <v>#REF!</v>
      </c>
      <c r="O48" s="149" t="e">
        <f>#REF!/100</f>
        <v>#REF!</v>
      </c>
      <c r="P48" s="149" t="e">
        <f>#REF!/50</f>
        <v>#REF!</v>
      </c>
      <c r="Q48" s="148"/>
      <c r="R48" s="148" t="e">
        <f t="shared" si="9"/>
        <v>#REF!</v>
      </c>
      <c r="S48" s="148" t="e">
        <f t="shared" si="30"/>
        <v>#REF!</v>
      </c>
      <c r="T48" s="148" t="e">
        <f t="shared" si="30"/>
        <v>#REF!</v>
      </c>
      <c r="U48" s="148"/>
      <c r="V48" s="148"/>
      <c r="W48" s="148"/>
      <c r="X48" s="148"/>
      <c r="Y48" s="148"/>
      <c r="Z48" s="312">
        <f>ROUND(M48/120/10,0)</f>
        <v>2</v>
      </c>
      <c r="AA48" s="154">
        <v>2</v>
      </c>
      <c r="AB48" s="158">
        <f t="shared" si="12"/>
        <v>4</v>
      </c>
      <c r="AC48" s="149">
        <f t="shared" si="13"/>
        <v>2</v>
      </c>
      <c r="AD48" s="149">
        <f t="shared" si="17"/>
        <v>0.66666666666666663</v>
      </c>
      <c r="AE48" s="313">
        <v>1</v>
      </c>
      <c r="AF48" s="286">
        <v>1</v>
      </c>
      <c r="AG48" s="284"/>
      <c r="AH48" s="148"/>
      <c r="AI48" s="148"/>
      <c r="AJ48" s="148"/>
      <c r="AK48" s="148"/>
      <c r="AL48" s="148"/>
      <c r="AM48" s="148"/>
      <c r="AN48" s="148"/>
      <c r="AO48" s="148"/>
      <c r="AP48" s="150"/>
      <c r="AQ48" s="154"/>
    </row>
    <row r="49" spans="1:43" ht="17.25" thickTop="1" thickBot="1" x14ac:dyDescent="0.3">
      <c r="A49" s="138" t="s">
        <v>166</v>
      </c>
      <c r="B49" s="153" t="s">
        <v>167</v>
      </c>
      <c r="C49" s="140">
        <v>5570</v>
      </c>
      <c r="D49" s="141">
        <v>0.437323897113015</v>
      </c>
      <c r="E49" s="141">
        <v>0.48522048100794901</v>
      </c>
      <c r="F49" s="141">
        <v>7.7455621879036804E-2</v>
      </c>
      <c r="G49" s="142">
        <f t="shared" si="0"/>
        <v>2435.8941069194934</v>
      </c>
      <c r="H49" s="142">
        <f t="shared" si="1"/>
        <v>2702.6780792142758</v>
      </c>
      <c r="I49" s="142">
        <f t="shared" si="2"/>
        <v>431.427813866235</v>
      </c>
      <c r="J49" s="143">
        <f t="shared" ref="J49:J50" si="33">G49*41.7%</f>
        <v>1015.7678425854289</v>
      </c>
      <c r="K49" s="143">
        <f t="shared" ref="K49:K50" si="34">H49*41.7%</f>
        <v>1127.0167590323531</v>
      </c>
      <c r="L49" s="143">
        <f t="shared" ref="L49:L50" si="35">I49*41.7%</f>
        <v>179.90539838222</v>
      </c>
      <c r="M49" s="145">
        <f t="shared" si="29"/>
        <v>2322.6900000000019</v>
      </c>
      <c r="N49" s="149" t="e">
        <f>#REF!/100</f>
        <v>#REF!</v>
      </c>
      <c r="O49" s="149" t="e">
        <f>#REF!/100</f>
        <v>#REF!</v>
      </c>
      <c r="P49" s="149" t="e">
        <f>#REF!/50</f>
        <v>#REF!</v>
      </c>
      <c r="Q49" s="148"/>
      <c r="R49" s="148" t="e">
        <f t="shared" si="9"/>
        <v>#REF!</v>
      </c>
      <c r="S49" s="148" t="e">
        <f t="shared" si="30"/>
        <v>#REF!</v>
      </c>
      <c r="T49" s="148" t="e">
        <f t="shared" si="30"/>
        <v>#REF!</v>
      </c>
      <c r="U49" s="148"/>
      <c r="V49" s="148"/>
      <c r="W49" s="148"/>
      <c r="X49" s="148"/>
      <c r="Y49" s="148"/>
      <c r="Z49" s="312">
        <f t="shared" ref="Z49:Z50" si="36">ROUND(M49/120/10,0)</f>
        <v>2</v>
      </c>
      <c r="AA49" s="154">
        <v>1</v>
      </c>
      <c r="AB49" s="158">
        <f t="shared" si="12"/>
        <v>2</v>
      </c>
      <c r="AC49" s="149">
        <f t="shared" si="13"/>
        <v>1</v>
      </c>
      <c r="AD49" s="149">
        <f t="shared" si="17"/>
        <v>0.33333333333333331</v>
      </c>
      <c r="AE49" s="313">
        <v>1</v>
      </c>
      <c r="AF49" s="286"/>
      <c r="AG49" s="284"/>
      <c r="AH49" s="148"/>
      <c r="AI49" s="148"/>
      <c r="AJ49" s="148"/>
      <c r="AK49" s="148"/>
      <c r="AL49" s="148"/>
      <c r="AM49" s="148"/>
      <c r="AN49" s="148"/>
      <c r="AO49" s="148"/>
      <c r="AP49" s="150"/>
      <c r="AQ49" s="154"/>
    </row>
    <row r="50" spans="1:43" ht="17.25" thickTop="1" thickBot="1" x14ac:dyDescent="0.3">
      <c r="A50" s="138" t="s">
        <v>166</v>
      </c>
      <c r="B50" s="153" t="s">
        <v>168</v>
      </c>
      <c r="C50" s="140">
        <v>6724</v>
      </c>
      <c r="D50" s="141">
        <v>0.37111812485774565</v>
      </c>
      <c r="E50" s="141">
        <v>0.34812854661570042</v>
      </c>
      <c r="F50" s="141">
        <v>0.28075332852655377</v>
      </c>
      <c r="G50" s="142">
        <f t="shared" si="0"/>
        <v>2495.3982715434818</v>
      </c>
      <c r="H50" s="142">
        <f t="shared" si="1"/>
        <v>2340.8163474439698</v>
      </c>
      <c r="I50" s="142">
        <f t="shared" si="2"/>
        <v>1887.7853810125475</v>
      </c>
      <c r="J50" s="143">
        <f t="shared" si="33"/>
        <v>1040.581079233632</v>
      </c>
      <c r="K50" s="143">
        <f t="shared" si="34"/>
        <v>976.12041688413547</v>
      </c>
      <c r="L50" s="143">
        <f t="shared" si="35"/>
        <v>787.20650388223237</v>
      </c>
      <c r="M50" s="145">
        <f t="shared" si="29"/>
        <v>2803.9079999999999</v>
      </c>
      <c r="N50" s="149" t="e">
        <f>#REF!/100</f>
        <v>#REF!</v>
      </c>
      <c r="O50" s="149" t="e">
        <f>#REF!/100</f>
        <v>#REF!</v>
      </c>
      <c r="P50" s="149" t="e">
        <f>#REF!/50</f>
        <v>#REF!</v>
      </c>
      <c r="Q50" s="148"/>
      <c r="R50" s="148" t="e">
        <f t="shared" si="9"/>
        <v>#REF!</v>
      </c>
      <c r="S50" s="148" t="e">
        <f t="shared" si="30"/>
        <v>#REF!</v>
      </c>
      <c r="T50" s="148" t="e">
        <f t="shared" si="30"/>
        <v>#REF!</v>
      </c>
      <c r="U50" s="148"/>
      <c r="V50" s="148"/>
      <c r="W50" s="148"/>
      <c r="X50" s="148"/>
      <c r="Y50" s="148"/>
      <c r="Z50" s="312">
        <f t="shared" si="36"/>
        <v>2</v>
      </c>
      <c r="AA50" s="154">
        <v>1</v>
      </c>
      <c r="AB50" s="158">
        <f t="shared" si="12"/>
        <v>2</v>
      </c>
      <c r="AC50" s="149">
        <f t="shared" si="13"/>
        <v>1</v>
      </c>
      <c r="AD50" s="149">
        <f t="shared" si="17"/>
        <v>0.33333333333333331</v>
      </c>
      <c r="AE50" s="313">
        <v>1</v>
      </c>
      <c r="AF50" s="286"/>
      <c r="AG50" s="284"/>
      <c r="AH50" s="148"/>
      <c r="AI50" s="148"/>
      <c r="AJ50" s="148"/>
      <c r="AK50" s="148"/>
      <c r="AL50" s="148"/>
      <c r="AM50" s="148"/>
      <c r="AN50" s="148"/>
      <c r="AO50" s="148"/>
      <c r="AP50" s="150"/>
      <c r="AQ50" s="154"/>
    </row>
    <row r="51" spans="1:43" ht="19.5" thickTop="1" thickBot="1" x14ac:dyDescent="0.3">
      <c r="A51" s="138"/>
      <c r="B51" s="153"/>
      <c r="C51" s="308">
        <f>SUM(C48:C50)</f>
        <v>19210</v>
      </c>
      <c r="D51" s="141"/>
      <c r="E51" s="141"/>
      <c r="F51" s="141"/>
      <c r="G51" s="308">
        <f>SUM(G48:G50)</f>
        <v>10711.005268939489</v>
      </c>
      <c r="H51" s="308">
        <f t="shared" ref="H51:AF51" si="37">SUM(H48:H50)</f>
        <v>5401.5282828469371</v>
      </c>
      <c r="I51" s="308">
        <f t="shared" si="37"/>
        <v>3097.4664482135759</v>
      </c>
      <c r="J51" s="308">
        <f t="shared" si="37"/>
        <v>4466.4891971477682</v>
      </c>
      <c r="K51" s="308">
        <f t="shared" si="37"/>
        <v>2252.4372939471732</v>
      </c>
      <c r="L51" s="308">
        <f t="shared" si="37"/>
        <v>1291.643508905061</v>
      </c>
      <c r="M51" s="308">
        <f t="shared" si="37"/>
        <v>8010.5700000000015</v>
      </c>
      <c r="N51" s="308" t="e">
        <f t="shared" si="37"/>
        <v>#REF!</v>
      </c>
      <c r="O51" s="308" t="e">
        <f t="shared" si="37"/>
        <v>#REF!</v>
      </c>
      <c r="P51" s="308" t="e">
        <f t="shared" si="37"/>
        <v>#REF!</v>
      </c>
      <c r="Q51" s="308">
        <f t="shared" si="37"/>
        <v>0</v>
      </c>
      <c r="R51" s="308" t="e">
        <f t="shared" si="37"/>
        <v>#REF!</v>
      </c>
      <c r="S51" s="308" t="e">
        <f t="shared" si="37"/>
        <v>#REF!</v>
      </c>
      <c r="T51" s="308" t="e">
        <f t="shared" si="37"/>
        <v>#REF!</v>
      </c>
      <c r="U51" s="308">
        <f t="shared" si="37"/>
        <v>0</v>
      </c>
      <c r="V51" s="308">
        <f t="shared" si="37"/>
        <v>0</v>
      </c>
      <c r="W51" s="308">
        <f t="shared" si="37"/>
        <v>0</v>
      </c>
      <c r="X51" s="308">
        <f t="shared" si="37"/>
        <v>0</v>
      </c>
      <c r="Y51" s="308">
        <f t="shared" si="37"/>
        <v>0</v>
      </c>
      <c r="Z51" s="308">
        <f t="shared" si="37"/>
        <v>6</v>
      </c>
      <c r="AA51" s="308">
        <f t="shared" si="37"/>
        <v>4</v>
      </c>
      <c r="AB51" s="308">
        <f t="shared" si="37"/>
        <v>8</v>
      </c>
      <c r="AC51" s="308">
        <f t="shared" si="37"/>
        <v>4</v>
      </c>
      <c r="AD51" s="308">
        <f t="shared" si="37"/>
        <v>1.3333333333333333</v>
      </c>
      <c r="AE51" s="309">
        <f t="shared" si="37"/>
        <v>3</v>
      </c>
      <c r="AF51" s="310">
        <f t="shared" si="37"/>
        <v>1</v>
      </c>
      <c r="AG51" s="284"/>
      <c r="AH51" s="148"/>
      <c r="AI51" s="148"/>
      <c r="AJ51" s="148"/>
      <c r="AK51" s="148"/>
      <c r="AL51" s="148"/>
      <c r="AM51" s="148"/>
      <c r="AN51" s="148"/>
      <c r="AO51" s="148"/>
      <c r="AP51" s="150"/>
      <c r="AQ51" s="154"/>
    </row>
    <row r="52" spans="1:43" ht="17.25" thickTop="1" thickBot="1" x14ac:dyDescent="0.3">
      <c r="A52" s="138" t="s">
        <v>169</v>
      </c>
      <c r="B52" s="153" t="s">
        <v>170</v>
      </c>
      <c r="C52" s="140">
        <v>4900</v>
      </c>
      <c r="D52" s="141">
        <v>0.69784274765824583</v>
      </c>
      <c r="E52" s="141">
        <v>0.30215725234175422</v>
      </c>
      <c r="F52" s="141">
        <v>0</v>
      </c>
      <c r="G52" s="142">
        <f t="shared" si="0"/>
        <v>3419.4294635254046</v>
      </c>
      <c r="H52" s="142">
        <f t="shared" si="1"/>
        <v>1480.5705364745957</v>
      </c>
      <c r="I52" s="142">
        <f t="shared" si="2"/>
        <v>0</v>
      </c>
      <c r="J52" s="143">
        <f>G52*41.7%</f>
        <v>1425.9020862900938</v>
      </c>
      <c r="K52" s="143">
        <f t="shared" ref="K52:L52" si="38">H52*41.7%</f>
        <v>617.39791370990645</v>
      </c>
      <c r="L52" s="143">
        <f t="shared" si="38"/>
        <v>0</v>
      </c>
      <c r="M52" s="145">
        <f t="shared" si="29"/>
        <v>2043.3000000000002</v>
      </c>
      <c r="N52" s="149" t="e">
        <f>#REF!/100</f>
        <v>#REF!</v>
      </c>
      <c r="O52" s="149" t="e">
        <f>#REF!/100</f>
        <v>#REF!</v>
      </c>
      <c r="P52" s="149" t="e">
        <f>#REF!/50</f>
        <v>#REF!</v>
      </c>
      <c r="Q52" s="148"/>
      <c r="R52" s="148" t="e">
        <f t="shared" si="9"/>
        <v>#REF!</v>
      </c>
      <c r="S52" s="148" t="e">
        <f t="shared" si="30"/>
        <v>#REF!</v>
      </c>
      <c r="T52" s="148" t="e">
        <f t="shared" si="30"/>
        <v>#REF!</v>
      </c>
      <c r="U52" s="148"/>
      <c r="V52" s="148"/>
      <c r="W52" s="148"/>
      <c r="X52" s="148"/>
      <c r="Y52" s="148"/>
      <c r="Z52" s="150">
        <f>ROUND(M52/120/10,0)</f>
        <v>2</v>
      </c>
      <c r="AA52" s="154">
        <v>2</v>
      </c>
      <c r="AB52" s="159">
        <f t="shared" si="12"/>
        <v>4</v>
      </c>
      <c r="AC52" s="149">
        <f t="shared" si="13"/>
        <v>2</v>
      </c>
      <c r="AD52" s="314">
        <f t="shared" si="17"/>
        <v>0.66666666666666663</v>
      </c>
      <c r="AE52" s="315">
        <v>1</v>
      </c>
      <c r="AF52" s="286"/>
      <c r="AG52" s="284"/>
      <c r="AH52" s="148"/>
      <c r="AI52" s="148"/>
      <c r="AJ52" s="148"/>
      <c r="AK52" s="148"/>
      <c r="AL52" s="148"/>
      <c r="AM52" s="148"/>
      <c r="AN52" s="148"/>
      <c r="AO52" s="148"/>
      <c r="AP52" s="150"/>
      <c r="AQ52" s="154"/>
    </row>
    <row r="53" spans="1:43" ht="17.25" thickTop="1" thickBot="1" x14ac:dyDescent="0.3">
      <c r="A53" s="138" t="s">
        <v>169</v>
      </c>
      <c r="B53" s="153" t="s">
        <v>171</v>
      </c>
      <c r="C53" s="140">
        <v>7350</v>
      </c>
      <c r="D53" s="141">
        <v>0.18635562186355623</v>
      </c>
      <c r="E53" s="141">
        <v>0.81364437813644364</v>
      </c>
      <c r="F53" s="141">
        <v>0</v>
      </c>
      <c r="G53" s="142">
        <f t="shared" si="0"/>
        <v>1369.7138206971383</v>
      </c>
      <c r="H53" s="142">
        <f t="shared" si="1"/>
        <v>5980.2861793028605</v>
      </c>
      <c r="I53" s="142">
        <f t="shared" si="2"/>
        <v>0</v>
      </c>
      <c r="J53" s="143">
        <f t="shared" ref="J53:J70" si="39">G53*41.7%</f>
        <v>571.17066323070674</v>
      </c>
      <c r="K53" s="143">
        <f t="shared" ref="K53:K70" si="40">H53*41.7%</f>
        <v>2493.779336769293</v>
      </c>
      <c r="L53" s="143">
        <f t="shared" ref="L53:L70" si="41">I53*41.7%</f>
        <v>0</v>
      </c>
      <c r="M53" s="145">
        <f t="shared" si="29"/>
        <v>3064.95</v>
      </c>
      <c r="N53" s="149" t="e">
        <f>#REF!/100</f>
        <v>#REF!</v>
      </c>
      <c r="O53" s="149" t="e">
        <f>#REF!/100</f>
        <v>#REF!</v>
      </c>
      <c r="P53" s="149" t="e">
        <f>#REF!/50</f>
        <v>#REF!</v>
      </c>
      <c r="Q53" s="148"/>
      <c r="R53" s="148" t="e">
        <f t="shared" si="9"/>
        <v>#REF!</v>
      </c>
      <c r="S53" s="148" t="e">
        <f t="shared" si="30"/>
        <v>#REF!</v>
      </c>
      <c r="T53" s="148" t="e">
        <f t="shared" si="30"/>
        <v>#REF!</v>
      </c>
      <c r="U53" s="148"/>
      <c r="V53" s="148"/>
      <c r="W53" s="148"/>
      <c r="X53" s="148"/>
      <c r="Y53" s="148"/>
      <c r="Z53" s="150">
        <f t="shared" ref="Z53:Z70" si="42">ROUND(M53/120/10,0)</f>
        <v>3</v>
      </c>
      <c r="AA53" s="154">
        <v>2</v>
      </c>
      <c r="AB53" s="159">
        <f t="shared" si="12"/>
        <v>4</v>
      </c>
      <c r="AC53" s="149">
        <f t="shared" si="13"/>
        <v>2</v>
      </c>
      <c r="AD53" s="149">
        <f t="shared" si="17"/>
        <v>0.66666666666666663</v>
      </c>
      <c r="AE53" s="315">
        <v>1</v>
      </c>
      <c r="AF53" s="286"/>
      <c r="AG53" s="284"/>
      <c r="AH53" s="148"/>
      <c r="AI53" s="148"/>
      <c r="AJ53" s="148"/>
      <c r="AK53" s="148"/>
      <c r="AL53" s="148"/>
      <c r="AM53" s="148"/>
      <c r="AN53" s="148"/>
      <c r="AO53" s="148"/>
      <c r="AP53" s="150"/>
      <c r="AQ53" s="154"/>
    </row>
    <row r="54" spans="1:43" ht="17.25" thickTop="1" thickBot="1" x14ac:dyDescent="0.3">
      <c r="A54" s="138" t="s">
        <v>169</v>
      </c>
      <c r="B54" s="153" t="s">
        <v>172</v>
      </c>
      <c r="C54" s="140">
        <v>7350</v>
      </c>
      <c r="D54" s="141">
        <v>0.68819566490919759</v>
      </c>
      <c r="E54" s="141">
        <v>0.31180433509080263</v>
      </c>
      <c r="F54" s="141">
        <v>0</v>
      </c>
      <c r="G54" s="142">
        <f t="shared" si="0"/>
        <v>5058.2381370826024</v>
      </c>
      <c r="H54" s="142">
        <f t="shared" si="1"/>
        <v>2291.7618629173994</v>
      </c>
      <c r="I54" s="142">
        <f t="shared" si="2"/>
        <v>0</v>
      </c>
      <c r="J54" s="143">
        <f t="shared" si="39"/>
        <v>2109.2853031634454</v>
      </c>
      <c r="K54" s="143">
        <f t="shared" si="40"/>
        <v>955.66469683655566</v>
      </c>
      <c r="L54" s="143">
        <f t="shared" si="41"/>
        <v>0</v>
      </c>
      <c r="M54" s="145">
        <f t="shared" si="29"/>
        <v>3064.9500000000012</v>
      </c>
      <c r="N54" s="149" t="e">
        <f>#REF!/100</f>
        <v>#REF!</v>
      </c>
      <c r="O54" s="149" t="e">
        <f>#REF!/100</f>
        <v>#REF!</v>
      </c>
      <c r="P54" s="149" t="e">
        <f>#REF!/50</f>
        <v>#REF!</v>
      </c>
      <c r="Q54" s="148"/>
      <c r="R54" s="148" t="e">
        <f t="shared" si="9"/>
        <v>#REF!</v>
      </c>
      <c r="S54" s="148" t="e">
        <f t="shared" si="30"/>
        <v>#REF!</v>
      </c>
      <c r="T54" s="148" t="e">
        <f t="shared" si="30"/>
        <v>#REF!</v>
      </c>
      <c r="U54" s="148"/>
      <c r="V54" s="148"/>
      <c r="W54" s="148"/>
      <c r="X54" s="148"/>
      <c r="Y54" s="148"/>
      <c r="Z54" s="150">
        <f t="shared" si="42"/>
        <v>3</v>
      </c>
      <c r="AA54" s="154">
        <v>2</v>
      </c>
      <c r="AB54" s="159">
        <f t="shared" si="12"/>
        <v>4</v>
      </c>
      <c r="AC54" s="149">
        <f t="shared" si="13"/>
        <v>2</v>
      </c>
      <c r="AD54" s="149">
        <f t="shared" si="17"/>
        <v>0.66666666666666663</v>
      </c>
      <c r="AE54" s="315">
        <v>1</v>
      </c>
      <c r="AF54" s="286"/>
      <c r="AG54" s="284"/>
      <c r="AH54" s="148"/>
      <c r="AI54" s="148"/>
      <c r="AJ54" s="148"/>
      <c r="AK54" s="148"/>
      <c r="AL54" s="148"/>
      <c r="AM54" s="148"/>
      <c r="AN54" s="148"/>
      <c r="AO54" s="148"/>
      <c r="AP54" s="150"/>
      <c r="AQ54" s="154"/>
    </row>
    <row r="55" spans="1:43" ht="17.25" thickTop="1" thickBot="1" x14ac:dyDescent="0.3">
      <c r="A55" s="138" t="s">
        <v>169</v>
      </c>
      <c r="B55" s="153" t="s">
        <v>173</v>
      </c>
      <c r="C55" s="140">
        <v>14700</v>
      </c>
      <c r="D55" s="141">
        <v>0.45350030794498053</v>
      </c>
      <c r="E55" s="141">
        <v>0.48833230685006507</v>
      </c>
      <c r="F55" s="141">
        <v>5.8167385204954493E-2</v>
      </c>
      <c r="G55" s="142">
        <f t="shared" si="0"/>
        <v>6666.4545267912135</v>
      </c>
      <c r="H55" s="142">
        <f t="shared" si="1"/>
        <v>7178.4849106959564</v>
      </c>
      <c r="I55" s="142">
        <f t="shared" si="2"/>
        <v>855.0605625128311</v>
      </c>
      <c r="J55" s="143">
        <f t="shared" si="39"/>
        <v>2779.9115376719365</v>
      </c>
      <c r="K55" s="143">
        <f t="shared" si="40"/>
        <v>2993.4282077602143</v>
      </c>
      <c r="L55" s="143">
        <f t="shared" si="41"/>
        <v>356.56025456785062</v>
      </c>
      <c r="M55" s="145">
        <f t="shared" si="29"/>
        <v>6129.9000000000015</v>
      </c>
      <c r="N55" s="149" t="e">
        <f>#REF!/100</f>
        <v>#REF!</v>
      </c>
      <c r="O55" s="149" t="e">
        <f>#REF!/100</f>
        <v>#REF!</v>
      </c>
      <c r="P55" s="149" t="e">
        <f>#REF!/50</f>
        <v>#REF!</v>
      </c>
      <c r="Q55" s="148"/>
      <c r="R55" s="148" t="e">
        <f t="shared" si="9"/>
        <v>#REF!</v>
      </c>
      <c r="S55" s="148" t="e">
        <f t="shared" si="30"/>
        <v>#REF!</v>
      </c>
      <c r="T55" s="148" t="e">
        <f t="shared" si="30"/>
        <v>#REF!</v>
      </c>
      <c r="U55" s="148"/>
      <c r="V55" s="148"/>
      <c r="W55" s="148"/>
      <c r="X55" s="148"/>
      <c r="Y55" s="148"/>
      <c r="Z55" s="150">
        <f t="shared" si="42"/>
        <v>5</v>
      </c>
      <c r="AA55" s="154">
        <v>4</v>
      </c>
      <c r="AB55" s="159">
        <f t="shared" si="12"/>
        <v>8</v>
      </c>
      <c r="AC55" s="149">
        <f t="shared" si="13"/>
        <v>4</v>
      </c>
      <c r="AD55" s="149">
        <f t="shared" si="17"/>
        <v>1.3333333333333333</v>
      </c>
      <c r="AE55" s="315">
        <v>1</v>
      </c>
      <c r="AF55" s="286"/>
      <c r="AG55" s="284"/>
      <c r="AH55" s="148"/>
      <c r="AI55" s="148"/>
      <c r="AJ55" s="148"/>
      <c r="AK55" s="148"/>
      <c r="AL55" s="148"/>
      <c r="AM55" s="148"/>
      <c r="AN55" s="148"/>
      <c r="AO55" s="148"/>
      <c r="AP55" s="150"/>
      <c r="AQ55" s="154"/>
    </row>
    <row r="56" spans="1:43" ht="17.25" thickTop="1" thickBot="1" x14ac:dyDescent="0.3">
      <c r="A56" s="138" t="s">
        <v>169</v>
      </c>
      <c r="B56" s="153" t="s">
        <v>174</v>
      </c>
      <c r="C56" s="140">
        <v>24499</v>
      </c>
      <c r="D56" s="141">
        <v>0.42655764392481876</v>
      </c>
      <c r="E56" s="141">
        <v>0.52456711558383895</v>
      </c>
      <c r="F56" s="141">
        <v>4.8875240491342314E-2</v>
      </c>
      <c r="G56" s="142">
        <f t="shared" si="0"/>
        <v>10450.235718514135</v>
      </c>
      <c r="H56" s="142">
        <f t="shared" si="1"/>
        <v>12851.36976468847</v>
      </c>
      <c r="I56" s="142">
        <f t="shared" si="2"/>
        <v>1197.3945167973955</v>
      </c>
      <c r="J56" s="143">
        <f t="shared" si="39"/>
        <v>4357.7482946203945</v>
      </c>
      <c r="K56" s="143">
        <f t="shared" si="40"/>
        <v>5359.0211918750929</v>
      </c>
      <c r="L56" s="143">
        <f t="shared" si="41"/>
        <v>499.31351350451394</v>
      </c>
      <c r="M56" s="145">
        <f t="shared" si="29"/>
        <v>10216.083000000001</v>
      </c>
      <c r="N56" s="149" t="e">
        <f>#REF!/100</f>
        <v>#REF!</v>
      </c>
      <c r="O56" s="149" t="e">
        <f>#REF!/100</f>
        <v>#REF!</v>
      </c>
      <c r="P56" s="149" t="e">
        <f>#REF!/50</f>
        <v>#REF!</v>
      </c>
      <c r="Q56" s="148"/>
      <c r="R56" s="148" t="e">
        <f t="shared" si="9"/>
        <v>#REF!</v>
      </c>
      <c r="S56" s="148" t="e">
        <f t="shared" si="30"/>
        <v>#REF!</v>
      </c>
      <c r="T56" s="148" t="e">
        <f t="shared" si="30"/>
        <v>#REF!</v>
      </c>
      <c r="U56" s="148"/>
      <c r="V56" s="148"/>
      <c r="W56" s="148"/>
      <c r="X56" s="148"/>
      <c r="Y56" s="148"/>
      <c r="Z56" s="150">
        <f t="shared" si="42"/>
        <v>9</v>
      </c>
      <c r="AA56" s="154">
        <v>8</v>
      </c>
      <c r="AB56" s="159">
        <f t="shared" si="12"/>
        <v>16</v>
      </c>
      <c r="AC56" s="149">
        <f t="shared" si="13"/>
        <v>8</v>
      </c>
      <c r="AD56" s="149">
        <f t="shared" si="17"/>
        <v>2.6666666666666665</v>
      </c>
      <c r="AE56" s="315">
        <v>2</v>
      </c>
      <c r="AF56" s="286"/>
      <c r="AG56" s="284"/>
      <c r="AH56" s="148"/>
      <c r="AI56" s="148"/>
      <c r="AJ56" s="148"/>
      <c r="AK56" s="148"/>
      <c r="AL56" s="148"/>
      <c r="AM56" s="148"/>
      <c r="AN56" s="148"/>
      <c r="AO56" s="148"/>
      <c r="AP56" s="150"/>
      <c r="AQ56" s="154"/>
    </row>
    <row r="57" spans="1:43" ht="17.25" thickTop="1" thickBot="1" x14ac:dyDescent="0.3">
      <c r="A57" s="138" t="s">
        <v>169</v>
      </c>
      <c r="B57" s="153" t="s">
        <v>169</v>
      </c>
      <c r="C57" s="140">
        <v>14700</v>
      </c>
      <c r="D57" s="141">
        <v>0.444413887933998</v>
      </c>
      <c r="E57" s="141">
        <v>0.1372980405637676</v>
      </c>
      <c r="F57" s="141">
        <v>0.41828807150223446</v>
      </c>
      <c r="G57" s="142">
        <f t="shared" si="0"/>
        <v>6532.8841526297701</v>
      </c>
      <c r="H57" s="142">
        <f t="shared" si="1"/>
        <v>2018.2811962873836</v>
      </c>
      <c r="I57" s="142">
        <f t="shared" si="2"/>
        <v>6148.8346510828469</v>
      </c>
      <c r="J57" s="143">
        <f t="shared" si="39"/>
        <v>2724.2126916466145</v>
      </c>
      <c r="K57" s="143">
        <f t="shared" si="40"/>
        <v>841.62325885183907</v>
      </c>
      <c r="L57" s="143">
        <f t="shared" si="41"/>
        <v>2564.0640495015473</v>
      </c>
      <c r="M57" s="145">
        <f t="shared" si="29"/>
        <v>6129.9000000000015</v>
      </c>
      <c r="N57" s="149" t="e">
        <f>#REF!/100</f>
        <v>#REF!</v>
      </c>
      <c r="O57" s="149" t="e">
        <f>#REF!/100</f>
        <v>#REF!</v>
      </c>
      <c r="P57" s="149" t="e">
        <f>#REF!/50</f>
        <v>#REF!</v>
      </c>
      <c r="Q57" s="148"/>
      <c r="R57" s="148" t="e">
        <f t="shared" si="9"/>
        <v>#REF!</v>
      </c>
      <c r="S57" s="148" t="e">
        <f t="shared" si="30"/>
        <v>#REF!</v>
      </c>
      <c r="T57" s="148" t="e">
        <f t="shared" si="30"/>
        <v>#REF!</v>
      </c>
      <c r="U57" s="148"/>
      <c r="V57" s="148"/>
      <c r="W57" s="148"/>
      <c r="X57" s="148"/>
      <c r="Y57" s="148"/>
      <c r="Z57" s="150">
        <f t="shared" si="42"/>
        <v>5</v>
      </c>
      <c r="AA57" s="154">
        <v>5</v>
      </c>
      <c r="AB57" s="159">
        <f t="shared" si="12"/>
        <v>10</v>
      </c>
      <c r="AC57" s="149">
        <f t="shared" si="13"/>
        <v>5</v>
      </c>
      <c r="AD57" s="149">
        <f t="shared" si="17"/>
        <v>1.6666666666666667</v>
      </c>
      <c r="AE57" s="315">
        <v>1</v>
      </c>
      <c r="AF57" s="286"/>
      <c r="AG57" s="284"/>
      <c r="AH57" s="148"/>
      <c r="AI57" s="148"/>
      <c r="AJ57" s="148"/>
      <c r="AK57" s="148"/>
      <c r="AL57" s="148"/>
      <c r="AM57" s="148"/>
      <c r="AN57" s="148"/>
      <c r="AO57" s="148"/>
      <c r="AP57" s="150"/>
      <c r="AQ57" s="154"/>
    </row>
    <row r="58" spans="1:43" ht="16.5" thickTop="1" x14ac:dyDescent="0.25">
      <c r="A58" s="138" t="s">
        <v>169</v>
      </c>
      <c r="B58" s="153" t="s">
        <v>175</v>
      </c>
      <c r="C58" s="140">
        <v>9800</v>
      </c>
      <c r="D58" s="141">
        <v>0.49965308752106252</v>
      </c>
      <c r="E58" s="141">
        <v>0.50034691247893737</v>
      </c>
      <c r="F58" s="141">
        <v>0</v>
      </c>
      <c r="G58" s="142">
        <f t="shared" si="0"/>
        <v>4896.6002577064128</v>
      </c>
      <c r="H58" s="142">
        <f t="shared" si="1"/>
        <v>4903.3997422935863</v>
      </c>
      <c r="I58" s="142">
        <f t="shared" si="2"/>
        <v>0</v>
      </c>
      <c r="J58" s="143">
        <f t="shared" si="39"/>
        <v>2041.8823074635743</v>
      </c>
      <c r="K58" s="143">
        <f t="shared" si="40"/>
        <v>2044.7176925364256</v>
      </c>
      <c r="L58" s="143">
        <f t="shared" si="41"/>
        <v>0</v>
      </c>
      <c r="M58" s="145">
        <f t="shared" si="29"/>
        <v>4086.6</v>
      </c>
      <c r="N58" s="149" t="e">
        <f>#REF!/100</f>
        <v>#REF!</v>
      </c>
      <c r="O58" s="149" t="e">
        <f>#REF!/100</f>
        <v>#REF!</v>
      </c>
      <c r="P58" s="149" t="e">
        <f>#REF!/50</f>
        <v>#REF!</v>
      </c>
      <c r="Q58" s="148"/>
      <c r="R58" s="148" t="e">
        <f t="shared" si="9"/>
        <v>#REF!</v>
      </c>
      <c r="S58" s="148" t="e">
        <f t="shared" si="30"/>
        <v>#REF!</v>
      </c>
      <c r="T58" s="148" t="e">
        <f t="shared" si="30"/>
        <v>#REF!</v>
      </c>
      <c r="U58" s="148"/>
      <c r="V58" s="148"/>
      <c r="W58" s="148"/>
      <c r="X58" s="148"/>
      <c r="Y58" s="148"/>
      <c r="Z58" s="150">
        <f t="shared" si="42"/>
        <v>3</v>
      </c>
      <c r="AA58" s="154">
        <v>3</v>
      </c>
      <c r="AB58" s="159">
        <f t="shared" si="12"/>
        <v>6</v>
      </c>
      <c r="AC58" s="149">
        <f t="shared" si="13"/>
        <v>3</v>
      </c>
      <c r="AD58" s="149">
        <f t="shared" si="17"/>
        <v>1</v>
      </c>
      <c r="AE58" s="315">
        <v>1</v>
      </c>
      <c r="AF58" s="286"/>
      <c r="AG58" s="284"/>
      <c r="AH58" s="148"/>
      <c r="AI58" s="148"/>
      <c r="AJ58" s="148"/>
      <c r="AK58" s="148"/>
      <c r="AL58" s="148"/>
      <c r="AM58" s="148"/>
      <c r="AN58" s="148"/>
      <c r="AO58" s="148"/>
      <c r="AP58" s="150"/>
      <c r="AQ58" s="154"/>
    </row>
    <row r="59" spans="1:43" ht="16.5" thickBot="1" x14ac:dyDescent="0.3">
      <c r="A59" s="138" t="s">
        <v>169</v>
      </c>
      <c r="B59" s="153" t="s">
        <v>176</v>
      </c>
      <c r="C59" s="140">
        <v>9800</v>
      </c>
      <c r="D59" s="160">
        <v>0.35387927833742999</v>
      </c>
      <c r="E59" s="160">
        <v>0.30089002514135399</v>
      </c>
      <c r="F59" s="160">
        <v>0.34523069652121602</v>
      </c>
      <c r="G59" s="142">
        <f t="shared" si="0"/>
        <v>3468.0169277068139</v>
      </c>
      <c r="H59" s="142">
        <f t="shared" si="1"/>
        <v>2948.722246385269</v>
      </c>
      <c r="I59" s="142">
        <f t="shared" si="2"/>
        <v>3383.260825907917</v>
      </c>
      <c r="J59" s="143">
        <f t="shared" si="39"/>
        <v>1446.1630588537416</v>
      </c>
      <c r="K59" s="143">
        <f t="shared" si="40"/>
        <v>1229.6171767426572</v>
      </c>
      <c r="L59" s="143">
        <f t="shared" si="41"/>
        <v>1410.8197644036015</v>
      </c>
      <c r="M59" s="145">
        <f t="shared" si="29"/>
        <v>4086.6000000000004</v>
      </c>
      <c r="N59" s="149" t="e">
        <f>#REF!/100</f>
        <v>#REF!</v>
      </c>
      <c r="O59" s="149" t="e">
        <f>#REF!/100</f>
        <v>#REF!</v>
      </c>
      <c r="P59" s="149" t="e">
        <f>#REF!/50</f>
        <v>#REF!</v>
      </c>
      <c r="Q59" s="148"/>
      <c r="R59" s="148" t="e">
        <f t="shared" si="9"/>
        <v>#REF!</v>
      </c>
      <c r="S59" s="148" t="e">
        <f t="shared" si="30"/>
        <v>#REF!</v>
      </c>
      <c r="T59" s="148" t="e">
        <f t="shared" si="30"/>
        <v>#REF!</v>
      </c>
      <c r="U59" s="148"/>
      <c r="V59" s="148"/>
      <c r="W59" s="148"/>
      <c r="X59" s="148"/>
      <c r="Y59" s="148"/>
      <c r="Z59" s="150">
        <f t="shared" si="42"/>
        <v>3</v>
      </c>
      <c r="AA59" s="154">
        <v>3</v>
      </c>
      <c r="AB59" s="159">
        <f t="shared" si="12"/>
        <v>6</v>
      </c>
      <c r="AC59" s="149">
        <f t="shared" si="13"/>
        <v>3</v>
      </c>
      <c r="AD59" s="149">
        <f t="shared" si="17"/>
        <v>1</v>
      </c>
      <c r="AE59" s="315">
        <v>1</v>
      </c>
      <c r="AF59" s="286"/>
      <c r="AG59" s="284"/>
      <c r="AH59" s="148"/>
      <c r="AI59" s="148"/>
      <c r="AJ59" s="148"/>
      <c r="AK59" s="148"/>
      <c r="AL59" s="148"/>
      <c r="AM59" s="148"/>
      <c r="AN59" s="148"/>
      <c r="AO59" s="148"/>
      <c r="AP59" s="150"/>
      <c r="AQ59" s="154"/>
    </row>
    <row r="60" spans="1:43" ht="17.25" thickTop="1" thickBot="1" x14ac:dyDescent="0.3">
      <c r="A60" s="138" t="s">
        <v>169</v>
      </c>
      <c r="B60" s="153" t="s">
        <v>177</v>
      </c>
      <c r="C60" s="140">
        <v>29399</v>
      </c>
      <c r="D60" s="141">
        <v>0.82066381156316925</v>
      </c>
      <c r="E60" s="141">
        <v>0.17933618843683088</v>
      </c>
      <c r="F60" s="141">
        <v>0</v>
      </c>
      <c r="G60" s="142">
        <f t="shared" si="0"/>
        <v>24126.695396145613</v>
      </c>
      <c r="H60" s="142">
        <f t="shared" si="1"/>
        <v>5272.3046038543907</v>
      </c>
      <c r="I60" s="142">
        <f t="shared" si="2"/>
        <v>0</v>
      </c>
      <c r="J60" s="143">
        <f t="shared" si="39"/>
        <v>10060.831980192721</v>
      </c>
      <c r="K60" s="143">
        <f t="shared" si="40"/>
        <v>2198.5510198072811</v>
      </c>
      <c r="L60" s="143">
        <f t="shared" si="41"/>
        <v>0</v>
      </c>
      <c r="M60" s="145">
        <f t="shared" si="29"/>
        <v>12259.383000000002</v>
      </c>
      <c r="N60" s="149" t="e">
        <f>#REF!/100</f>
        <v>#REF!</v>
      </c>
      <c r="O60" s="149" t="e">
        <f>#REF!/100</f>
        <v>#REF!</v>
      </c>
      <c r="P60" s="149" t="e">
        <f>#REF!/50</f>
        <v>#REF!</v>
      </c>
      <c r="Q60" s="148"/>
      <c r="R60" s="148" t="e">
        <f t="shared" si="9"/>
        <v>#REF!</v>
      </c>
      <c r="S60" s="148" t="e">
        <f t="shared" si="30"/>
        <v>#REF!</v>
      </c>
      <c r="T60" s="148" t="e">
        <f t="shared" si="30"/>
        <v>#REF!</v>
      </c>
      <c r="U60" s="148"/>
      <c r="V60" s="148"/>
      <c r="W60" s="148"/>
      <c r="X60" s="148"/>
      <c r="Y60" s="148"/>
      <c r="Z60" s="150">
        <f t="shared" si="42"/>
        <v>10</v>
      </c>
      <c r="AA60" s="316">
        <v>6</v>
      </c>
      <c r="AB60" s="159">
        <f t="shared" si="12"/>
        <v>12</v>
      </c>
      <c r="AC60" s="149">
        <f t="shared" si="13"/>
        <v>6</v>
      </c>
      <c r="AD60" s="149">
        <f t="shared" si="17"/>
        <v>2</v>
      </c>
      <c r="AE60" s="315">
        <v>2</v>
      </c>
      <c r="AF60" s="286">
        <v>6</v>
      </c>
      <c r="AG60" s="284"/>
      <c r="AH60" s="148"/>
      <c r="AI60" s="148"/>
      <c r="AJ60" s="148"/>
      <c r="AK60" s="148"/>
      <c r="AL60" s="148"/>
      <c r="AM60" s="148"/>
      <c r="AN60" s="148"/>
      <c r="AO60" s="148"/>
      <c r="AP60" s="150"/>
      <c r="AQ60" s="154"/>
    </row>
    <row r="61" spans="1:43" ht="17.25" thickTop="1" thickBot="1" x14ac:dyDescent="0.3">
      <c r="A61" s="138" t="s">
        <v>169</v>
      </c>
      <c r="B61" s="153" t="s">
        <v>178</v>
      </c>
      <c r="C61" s="140">
        <v>7346</v>
      </c>
      <c r="D61" s="141">
        <v>0.80917229464425944</v>
      </c>
      <c r="E61" s="141">
        <v>0.19082770535574053</v>
      </c>
      <c r="F61" s="141">
        <v>0</v>
      </c>
      <c r="G61" s="142">
        <f t="shared" si="0"/>
        <v>5944.1796764567298</v>
      </c>
      <c r="H61" s="142">
        <f t="shared" si="1"/>
        <v>1401.82032354327</v>
      </c>
      <c r="I61" s="142">
        <f t="shared" si="2"/>
        <v>0</v>
      </c>
      <c r="J61" s="143">
        <f t="shared" si="39"/>
        <v>2478.7229250824566</v>
      </c>
      <c r="K61" s="143">
        <f t="shared" si="40"/>
        <v>584.55907491754363</v>
      </c>
      <c r="L61" s="143">
        <f t="shared" si="41"/>
        <v>0</v>
      </c>
      <c r="M61" s="145">
        <f t="shared" si="29"/>
        <v>3063.2820000000002</v>
      </c>
      <c r="N61" s="149" t="e">
        <f>#REF!/100</f>
        <v>#REF!</v>
      </c>
      <c r="O61" s="149" t="e">
        <f>#REF!/100</f>
        <v>#REF!</v>
      </c>
      <c r="P61" s="149" t="e">
        <f>#REF!/50</f>
        <v>#REF!</v>
      </c>
      <c r="Q61" s="148"/>
      <c r="R61" s="148" t="e">
        <f t="shared" si="9"/>
        <v>#REF!</v>
      </c>
      <c r="S61" s="148" t="e">
        <f t="shared" si="30"/>
        <v>#REF!</v>
      </c>
      <c r="T61" s="148" t="e">
        <f t="shared" si="30"/>
        <v>#REF!</v>
      </c>
      <c r="U61" s="148"/>
      <c r="V61" s="148"/>
      <c r="W61" s="148"/>
      <c r="X61" s="148"/>
      <c r="Y61" s="148"/>
      <c r="Z61" s="150">
        <f t="shared" si="42"/>
        <v>3</v>
      </c>
      <c r="AA61" s="154">
        <v>2</v>
      </c>
      <c r="AB61" s="159">
        <f t="shared" si="12"/>
        <v>4</v>
      </c>
      <c r="AC61" s="149">
        <f t="shared" si="13"/>
        <v>2</v>
      </c>
      <c r="AD61" s="149">
        <f t="shared" si="17"/>
        <v>0.66666666666666663</v>
      </c>
      <c r="AE61" s="315">
        <v>1</v>
      </c>
      <c r="AF61" s="286"/>
      <c r="AG61" s="284"/>
      <c r="AH61" s="148"/>
      <c r="AI61" s="148"/>
      <c r="AJ61" s="148"/>
      <c r="AK61" s="148"/>
      <c r="AL61" s="148"/>
      <c r="AM61" s="148"/>
      <c r="AN61" s="148"/>
      <c r="AO61" s="148"/>
      <c r="AP61" s="150"/>
      <c r="AQ61" s="154"/>
    </row>
    <row r="62" spans="1:43" ht="17.25" thickTop="1" thickBot="1" x14ac:dyDescent="0.3">
      <c r="A62" s="138" t="s">
        <v>169</v>
      </c>
      <c r="B62" s="153" t="s">
        <v>179</v>
      </c>
      <c r="C62" s="140">
        <v>7350</v>
      </c>
      <c r="D62" s="141">
        <v>0.35916246370166588</v>
      </c>
      <c r="E62" s="141">
        <v>0.51291456518416623</v>
      </c>
      <c r="F62" s="141">
        <v>0.12792297111416778</v>
      </c>
      <c r="G62" s="142">
        <f t="shared" si="0"/>
        <v>2639.8441082072441</v>
      </c>
      <c r="H62" s="142">
        <f t="shared" si="1"/>
        <v>3769.9220541036216</v>
      </c>
      <c r="I62" s="142">
        <f t="shared" si="2"/>
        <v>940.23383768913322</v>
      </c>
      <c r="J62" s="143">
        <f t="shared" si="39"/>
        <v>1100.8149931224209</v>
      </c>
      <c r="K62" s="143">
        <f t="shared" si="40"/>
        <v>1572.0574965612104</v>
      </c>
      <c r="L62" s="143">
        <f t="shared" si="41"/>
        <v>392.0775103163686</v>
      </c>
      <c r="M62" s="145">
        <f t="shared" si="29"/>
        <v>3064.95</v>
      </c>
      <c r="N62" s="149" t="e">
        <f>#REF!/100</f>
        <v>#REF!</v>
      </c>
      <c r="O62" s="149" t="e">
        <f>#REF!/100</f>
        <v>#REF!</v>
      </c>
      <c r="P62" s="149" t="e">
        <f>#REF!/50</f>
        <v>#REF!</v>
      </c>
      <c r="Q62" s="148"/>
      <c r="R62" s="148" t="e">
        <f t="shared" si="9"/>
        <v>#REF!</v>
      </c>
      <c r="S62" s="148" t="e">
        <f t="shared" si="30"/>
        <v>#REF!</v>
      </c>
      <c r="T62" s="148" t="e">
        <f t="shared" si="30"/>
        <v>#REF!</v>
      </c>
      <c r="U62" s="148"/>
      <c r="V62" s="148"/>
      <c r="W62" s="148"/>
      <c r="X62" s="148"/>
      <c r="Y62" s="148"/>
      <c r="Z62" s="150">
        <f t="shared" si="42"/>
        <v>3</v>
      </c>
      <c r="AA62" s="154">
        <v>2</v>
      </c>
      <c r="AB62" s="159">
        <f t="shared" si="12"/>
        <v>4</v>
      </c>
      <c r="AC62" s="149">
        <f t="shared" si="13"/>
        <v>2</v>
      </c>
      <c r="AD62" s="149">
        <f t="shared" si="17"/>
        <v>0.66666666666666663</v>
      </c>
      <c r="AE62" s="315">
        <v>1</v>
      </c>
      <c r="AF62" s="286"/>
      <c r="AG62" s="284"/>
      <c r="AH62" s="148"/>
      <c r="AI62" s="148"/>
      <c r="AJ62" s="148"/>
      <c r="AK62" s="148"/>
      <c r="AL62" s="148"/>
      <c r="AM62" s="148"/>
      <c r="AN62" s="148"/>
      <c r="AO62" s="148"/>
      <c r="AP62" s="150"/>
      <c r="AQ62" s="154"/>
    </row>
    <row r="63" spans="1:43" ht="17.25" thickTop="1" thickBot="1" x14ac:dyDescent="0.3">
      <c r="A63" s="138" t="s">
        <v>169</v>
      </c>
      <c r="B63" s="153" t="s">
        <v>180</v>
      </c>
      <c r="C63" s="140">
        <v>24499</v>
      </c>
      <c r="D63" s="141">
        <v>0.41690642553774482</v>
      </c>
      <c r="E63" s="141">
        <v>0.29247157144814362</v>
      </c>
      <c r="F63" s="141">
        <v>0.29062200301411151</v>
      </c>
      <c r="G63" s="142">
        <f t="shared" si="0"/>
        <v>10213.790519249211</v>
      </c>
      <c r="H63" s="142">
        <f t="shared" si="1"/>
        <v>7165.2610289080703</v>
      </c>
      <c r="I63" s="142">
        <f t="shared" si="2"/>
        <v>7119.948451842718</v>
      </c>
      <c r="J63" s="143">
        <f t="shared" si="39"/>
        <v>4259.1506465269213</v>
      </c>
      <c r="K63" s="143">
        <f t="shared" si="40"/>
        <v>2987.9138490546657</v>
      </c>
      <c r="L63" s="143">
        <f t="shared" si="41"/>
        <v>2969.0185044184136</v>
      </c>
      <c r="M63" s="145">
        <f t="shared" si="29"/>
        <v>10216.083000000001</v>
      </c>
      <c r="N63" s="149" t="e">
        <f>#REF!/100</f>
        <v>#REF!</v>
      </c>
      <c r="O63" s="149" t="e">
        <f>#REF!/100</f>
        <v>#REF!</v>
      </c>
      <c r="P63" s="149" t="e">
        <f>#REF!/50</f>
        <v>#REF!</v>
      </c>
      <c r="Q63" s="148"/>
      <c r="R63" s="148" t="e">
        <f t="shared" si="9"/>
        <v>#REF!</v>
      </c>
      <c r="S63" s="148" t="e">
        <f t="shared" si="30"/>
        <v>#REF!</v>
      </c>
      <c r="T63" s="148" t="e">
        <f t="shared" si="30"/>
        <v>#REF!</v>
      </c>
      <c r="U63" s="148"/>
      <c r="V63" s="148"/>
      <c r="W63" s="148"/>
      <c r="X63" s="148"/>
      <c r="Y63" s="148"/>
      <c r="Z63" s="150">
        <f t="shared" si="42"/>
        <v>9</v>
      </c>
      <c r="AA63" s="154">
        <v>8</v>
      </c>
      <c r="AB63" s="159">
        <f t="shared" si="12"/>
        <v>16</v>
      </c>
      <c r="AC63" s="149">
        <f t="shared" si="13"/>
        <v>8</v>
      </c>
      <c r="AD63" s="149">
        <f t="shared" si="17"/>
        <v>2.6666666666666665</v>
      </c>
      <c r="AE63" s="315">
        <v>2</v>
      </c>
      <c r="AF63" s="286"/>
      <c r="AG63" s="284"/>
      <c r="AH63" s="148"/>
      <c r="AI63" s="148"/>
      <c r="AJ63" s="148"/>
      <c r="AK63" s="148"/>
      <c r="AL63" s="148"/>
      <c r="AM63" s="148"/>
      <c r="AN63" s="148"/>
      <c r="AO63" s="148"/>
      <c r="AP63" s="150"/>
      <c r="AQ63" s="154"/>
    </row>
    <row r="64" spans="1:43" ht="17.25" thickTop="1" thickBot="1" x14ac:dyDescent="0.3">
      <c r="A64" s="138" t="s">
        <v>169</v>
      </c>
      <c r="B64" s="153" t="s">
        <v>181</v>
      </c>
      <c r="C64" s="140">
        <v>2450</v>
      </c>
      <c r="D64" s="141">
        <v>0.38080000000000008</v>
      </c>
      <c r="E64" s="141">
        <v>0.46453333333333335</v>
      </c>
      <c r="F64" s="141">
        <v>0.15466666666666667</v>
      </c>
      <c r="G64" s="142">
        <f t="shared" si="0"/>
        <v>932.96000000000015</v>
      </c>
      <c r="H64" s="142">
        <f t="shared" si="1"/>
        <v>1138.1066666666668</v>
      </c>
      <c r="I64" s="142">
        <f t="shared" si="2"/>
        <v>378.93333333333334</v>
      </c>
      <c r="J64" s="143">
        <f t="shared" si="39"/>
        <v>389.04432000000008</v>
      </c>
      <c r="K64" s="143">
        <f t="shared" si="40"/>
        <v>474.59048000000007</v>
      </c>
      <c r="L64" s="143">
        <f t="shared" si="41"/>
        <v>158.01520000000002</v>
      </c>
      <c r="M64" s="145">
        <f t="shared" si="29"/>
        <v>1021.6500000000002</v>
      </c>
      <c r="N64" s="149" t="e">
        <f>#REF!/100</f>
        <v>#REF!</v>
      </c>
      <c r="O64" s="149" t="e">
        <f>#REF!/100</f>
        <v>#REF!</v>
      </c>
      <c r="P64" s="149" t="e">
        <f>#REF!/50</f>
        <v>#REF!</v>
      </c>
      <c r="Q64" s="148"/>
      <c r="R64" s="148" t="e">
        <f t="shared" si="9"/>
        <v>#REF!</v>
      </c>
      <c r="S64" s="148" t="e">
        <f t="shared" ref="S64:T81" si="43">ROUND(IF(R64&lt;=15,R64,15),0)</f>
        <v>#REF!</v>
      </c>
      <c r="T64" s="148" t="e">
        <f t="shared" si="43"/>
        <v>#REF!</v>
      </c>
      <c r="U64" s="148"/>
      <c r="V64" s="148"/>
      <c r="W64" s="148"/>
      <c r="X64" s="148"/>
      <c r="Y64" s="148"/>
      <c r="Z64" s="150">
        <f t="shared" si="42"/>
        <v>1</v>
      </c>
      <c r="AA64" s="154">
        <v>1</v>
      </c>
      <c r="AB64" s="159">
        <f t="shared" si="12"/>
        <v>2</v>
      </c>
      <c r="AC64" s="149">
        <f t="shared" si="13"/>
        <v>1</v>
      </c>
      <c r="AD64" s="314">
        <f t="shared" si="17"/>
        <v>0.33333333333333331</v>
      </c>
      <c r="AE64" s="317">
        <v>1</v>
      </c>
      <c r="AF64" s="286"/>
      <c r="AG64" s="284"/>
      <c r="AH64" s="148"/>
      <c r="AI64" s="148"/>
      <c r="AJ64" s="148"/>
      <c r="AK64" s="148"/>
      <c r="AL64" s="148"/>
      <c r="AM64" s="148"/>
      <c r="AN64" s="148"/>
      <c r="AO64" s="148"/>
      <c r="AP64" s="150"/>
      <c r="AQ64" s="154"/>
    </row>
    <row r="65" spans="1:43" ht="17.25" thickTop="1" thickBot="1" x14ac:dyDescent="0.3">
      <c r="A65" s="138" t="s">
        <v>169</v>
      </c>
      <c r="B65" s="153" t="s">
        <v>182</v>
      </c>
      <c r="C65" s="140">
        <v>4900</v>
      </c>
      <c r="D65" s="141">
        <v>0.50579252238020012</v>
      </c>
      <c r="E65" s="141">
        <v>0.25092153765139547</v>
      </c>
      <c r="F65" s="141">
        <v>0.24328593996840439</v>
      </c>
      <c r="G65" s="142">
        <f t="shared" si="0"/>
        <v>2478.3833596629806</v>
      </c>
      <c r="H65" s="142">
        <f t="shared" si="1"/>
        <v>1229.5155344918378</v>
      </c>
      <c r="I65" s="142">
        <f t="shared" si="2"/>
        <v>1192.1011058451816</v>
      </c>
      <c r="J65" s="143">
        <f t="shared" si="39"/>
        <v>1033.485860979463</v>
      </c>
      <c r="K65" s="143">
        <f t="shared" si="40"/>
        <v>512.70797788309642</v>
      </c>
      <c r="L65" s="143">
        <f t="shared" si="41"/>
        <v>497.10616113744078</v>
      </c>
      <c r="M65" s="145">
        <f t="shared" si="29"/>
        <v>2043.3000000000002</v>
      </c>
      <c r="N65" s="149" t="e">
        <f>#REF!/100</f>
        <v>#REF!</v>
      </c>
      <c r="O65" s="149" t="e">
        <f>#REF!/100</f>
        <v>#REF!</v>
      </c>
      <c r="P65" s="149" t="e">
        <f>#REF!/50</f>
        <v>#REF!</v>
      </c>
      <c r="Q65" s="148"/>
      <c r="R65" s="148" t="e">
        <f t="shared" si="9"/>
        <v>#REF!</v>
      </c>
      <c r="S65" s="148" t="e">
        <f t="shared" si="43"/>
        <v>#REF!</v>
      </c>
      <c r="T65" s="148" t="e">
        <f t="shared" si="43"/>
        <v>#REF!</v>
      </c>
      <c r="U65" s="148"/>
      <c r="V65" s="148"/>
      <c r="W65" s="148"/>
      <c r="X65" s="148"/>
      <c r="Y65" s="148"/>
      <c r="Z65" s="150">
        <f t="shared" si="42"/>
        <v>2</v>
      </c>
      <c r="AA65" s="154">
        <v>2</v>
      </c>
      <c r="AB65" s="159">
        <f t="shared" si="12"/>
        <v>4</v>
      </c>
      <c r="AC65" s="149">
        <f t="shared" si="13"/>
        <v>2</v>
      </c>
      <c r="AD65" s="314">
        <f t="shared" si="17"/>
        <v>0.66666666666666663</v>
      </c>
      <c r="AE65" s="317">
        <v>1</v>
      </c>
      <c r="AF65" s="286"/>
      <c r="AG65" s="284"/>
      <c r="AH65" s="148"/>
      <c r="AI65" s="148"/>
      <c r="AJ65" s="148"/>
      <c r="AK65" s="148"/>
      <c r="AL65" s="148"/>
      <c r="AM65" s="148"/>
      <c r="AN65" s="148"/>
      <c r="AO65" s="148"/>
      <c r="AP65" s="150"/>
      <c r="AQ65" s="154"/>
    </row>
    <row r="66" spans="1:43" ht="17.25" thickTop="1" thickBot="1" x14ac:dyDescent="0.3">
      <c r="A66" s="138" t="s">
        <v>169</v>
      </c>
      <c r="B66" s="153" t="s">
        <v>183</v>
      </c>
      <c r="C66" s="140">
        <v>12250</v>
      </c>
      <c r="D66" s="141">
        <v>0.18395846130531254</v>
      </c>
      <c r="E66" s="141">
        <v>0.2622676510855631</v>
      </c>
      <c r="F66" s="141">
        <v>0.55377388760912405</v>
      </c>
      <c r="G66" s="142">
        <f t="shared" si="0"/>
        <v>2253.4911509900785</v>
      </c>
      <c r="H66" s="142">
        <f t="shared" si="1"/>
        <v>3212.7787257981481</v>
      </c>
      <c r="I66" s="142">
        <f t="shared" si="2"/>
        <v>6783.7301232117698</v>
      </c>
      <c r="J66" s="143">
        <f t="shared" si="39"/>
        <v>939.70580996286287</v>
      </c>
      <c r="K66" s="143">
        <f t="shared" si="40"/>
        <v>1339.7287286578278</v>
      </c>
      <c r="L66" s="143">
        <f t="shared" si="41"/>
        <v>2828.8154613793081</v>
      </c>
      <c r="M66" s="145">
        <f t="shared" si="29"/>
        <v>5108.2499999999982</v>
      </c>
      <c r="N66" s="149" t="e">
        <f>#REF!/100</f>
        <v>#REF!</v>
      </c>
      <c r="O66" s="149" t="e">
        <f>#REF!/100</f>
        <v>#REF!</v>
      </c>
      <c r="P66" s="149" t="e">
        <f>#REF!/50</f>
        <v>#REF!</v>
      </c>
      <c r="Q66" s="148"/>
      <c r="R66" s="148" t="e">
        <f t="shared" si="9"/>
        <v>#REF!</v>
      </c>
      <c r="S66" s="148" t="e">
        <f t="shared" si="43"/>
        <v>#REF!</v>
      </c>
      <c r="T66" s="148" t="e">
        <f t="shared" si="43"/>
        <v>#REF!</v>
      </c>
      <c r="U66" s="148"/>
      <c r="V66" s="148"/>
      <c r="W66" s="148"/>
      <c r="X66" s="148"/>
      <c r="Y66" s="148"/>
      <c r="Z66" s="150">
        <f t="shared" si="42"/>
        <v>4</v>
      </c>
      <c r="AA66" s="154">
        <v>4</v>
      </c>
      <c r="AB66" s="159">
        <f t="shared" si="12"/>
        <v>8</v>
      </c>
      <c r="AC66" s="149">
        <f t="shared" si="13"/>
        <v>4</v>
      </c>
      <c r="AD66" s="149">
        <f t="shared" si="17"/>
        <v>1.3333333333333333</v>
      </c>
      <c r="AE66" s="315">
        <v>1</v>
      </c>
      <c r="AF66" s="286"/>
      <c r="AG66" s="284"/>
      <c r="AH66" s="148"/>
      <c r="AI66" s="148"/>
      <c r="AJ66" s="148"/>
      <c r="AK66" s="148"/>
      <c r="AL66" s="148"/>
      <c r="AM66" s="148"/>
      <c r="AN66" s="148"/>
      <c r="AO66" s="148"/>
      <c r="AP66" s="150"/>
      <c r="AQ66" s="154"/>
    </row>
    <row r="67" spans="1:43" ht="17.25" thickTop="1" thickBot="1" x14ac:dyDescent="0.3">
      <c r="A67" s="138" t="s">
        <v>169</v>
      </c>
      <c r="B67" s="153" t="s">
        <v>184</v>
      </c>
      <c r="C67" s="140">
        <v>29399</v>
      </c>
      <c r="D67" s="141">
        <v>0.4937901016847398</v>
      </c>
      <c r="E67" s="141">
        <v>0.343101572173652</v>
      </c>
      <c r="F67" s="141">
        <v>0.16310832614160817</v>
      </c>
      <c r="G67" s="142">
        <f t="shared" si="0"/>
        <v>14516.935199429665</v>
      </c>
      <c r="H67" s="142">
        <f t="shared" si="1"/>
        <v>10086.843120333195</v>
      </c>
      <c r="I67" s="142">
        <f t="shared" si="2"/>
        <v>4795.2216802371386</v>
      </c>
      <c r="J67" s="143">
        <f t="shared" si="39"/>
        <v>6053.5619781621708</v>
      </c>
      <c r="K67" s="143">
        <f t="shared" si="40"/>
        <v>4206.2135811789421</v>
      </c>
      <c r="L67" s="143">
        <f t="shared" si="41"/>
        <v>1999.6074406588871</v>
      </c>
      <c r="M67" s="145">
        <f t="shared" si="29"/>
        <v>12259.383</v>
      </c>
      <c r="N67" s="149" t="e">
        <f>#REF!/100</f>
        <v>#REF!</v>
      </c>
      <c r="O67" s="149" t="e">
        <f>#REF!/100</f>
        <v>#REF!</v>
      </c>
      <c r="P67" s="149" t="e">
        <f>#REF!/50</f>
        <v>#REF!</v>
      </c>
      <c r="Q67" s="148"/>
      <c r="R67" s="148" t="e">
        <f t="shared" si="9"/>
        <v>#REF!</v>
      </c>
      <c r="S67" s="148" t="e">
        <f t="shared" si="43"/>
        <v>#REF!</v>
      </c>
      <c r="T67" s="148" t="e">
        <f t="shared" si="43"/>
        <v>#REF!</v>
      </c>
      <c r="U67" s="148"/>
      <c r="V67" s="148"/>
      <c r="W67" s="148"/>
      <c r="X67" s="148"/>
      <c r="Y67" s="148"/>
      <c r="Z67" s="150">
        <f t="shared" si="42"/>
        <v>10</v>
      </c>
      <c r="AA67" s="154">
        <v>8</v>
      </c>
      <c r="AB67" s="159">
        <f t="shared" si="12"/>
        <v>16</v>
      </c>
      <c r="AC67" s="149">
        <f t="shared" si="13"/>
        <v>8</v>
      </c>
      <c r="AD67" s="149">
        <f t="shared" si="17"/>
        <v>2.6666666666666665</v>
      </c>
      <c r="AE67" s="315">
        <v>2</v>
      </c>
      <c r="AF67" s="286"/>
      <c r="AG67" s="284"/>
      <c r="AH67" s="148"/>
      <c r="AI67" s="148"/>
      <c r="AJ67" s="148"/>
      <c r="AK67" s="148"/>
      <c r="AL67" s="148"/>
      <c r="AM67" s="148"/>
      <c r="AN67" s="148"/>
      <c r="AO67" s="148"/>
      <c r="AP67" s="150"/>
      <c r="AQ67" s="154"/>
    </row>
    <row r="68" spans="1:43" ht="17.25" thickTop="1" thickBot="1" x14ac:dyDescent="0.3">
      <c r="A68" s="138" t="s">
        <v>169</v>
      </c>
      <c r="B68" s="153" t="s">
        <v>185</v>
      </c>
      <c r="C68" s="140">
        <v>14700</v>
      </c>
      <c r="D68" s="141">
        <v>0.20106268724210055</v>
      </c>
      <c r="E68" s="141">
        <v>0.76886552484314075</v>
      </c>
      <c r="F68" s="141">
        <v>3.0071787914758927E-2</v>
      </c>
      <c r="G68" s="142">
        <f t="shared" si="0"/>
        <v>2955.6215024588782</v>
      </c>
      <c r="H68" s="142">
        <f t="shared" si="1"/>
        <v>11302.323215194168</v>
      </c>
      <c r="I68" s="142">
        <f t="shared" si="2"/>
        <v>442.05528234695623</v>
      </c>
      <c r="J68" s="143">
        <f t="shared" si="39"/>
        <v>1232.4941665253523</v>
      </c>
      <c r="K68" s="143">
        <f t="shared" si="40"/>
        <v>4713.0687807359691</v>
      </c>
      <c r="L68" s="143">
        <f t="shared" si="41"/>
        <v>184.33705273868077</v>
      </c>
      <c r="M68" s="145">
        <f t="shared" si="29"/>
        <v>6129.9000000000024</v>
      </c>
      <c r="N68" s="149" t="e">
        <f>#REF!/100</f>
        <v>#REF!</v>
      </c>
      <c r="O68" s="149" t="e">
        <f>#REF!/100</f>
        <v>#REF!</v>
      </c>
      <c r="P68" s="149" t="e">
        <f>#REF!/50</f>
        <v>#REF!</v>
      </c>
      <c r="Q68" s="148"/>
      <c r="R68" s="148" t="e">
        <f t="shared" si="9"/>
        <v>#REF!</v>
      </c>
      <c r="S68" s="148" t="e">
        <f t="shared" si="43"/>
        <v>#REF!</v>
      </c>
      <c r="T68" s="148" t="e">
        <f t="shared" si="43"/>
        <v>#REF!</v>
      </c>
      <c r="U68" s="148"/>
      <c r="V68" s="148"/>
      <c r="W68" s="148"/>
      <c r="X68" s="148"/>
      <c r="Y68" s="148"/>
      <c r="Z68" s="150">
        <f t="shared" si="42"/>
        <v>5</v>
      </c>
      <c r="AA68" s="154">
        <v>4</v>
      </c>
      <c r="AB68" s="159">
        <f t="shared" si="12"/>
        <v>8</v>
      </c>
      <c r="AC68" s="149">
        <f t="shared" si="13"/>
        <v>4</v>
      </c>
      <c r="AD68" s="149">
        <f t="shared" si="17"/>
        <v>1.3333333333333333</v>
      </c>
      <c r="AE68" s="315">
        <v>1</v>
      </c>
      <c r="AF68" s="286"/>
      <c r="AG68" s="284"/>
      <c r="AH68" s="148"/>
      <c r="AI68" s="148"/>
      <c r="AJ68" s="148"/>
      <c r="AK68" s="148"/>
      <c r="AL68" s="148"/>
      <c r="AM68" s="148"/>
      <c r="AN68" s="148"/>
      <c r="AO68" s="148"/>
      <c r="AP68" s="150"/>
      <c r="AQ68" s="154"/>
    </row>
    <row r="69" spans="1:43" ht="17.25" thickTop="1" thickBot="1" x14ac:dyDescent="0.3">
      <c r="A69" s="138" t="s">
        <v>169</v>
      </c>
      <c r="B69" s="153" t="s">
        <v>186</v>
      </c>
      <c r="C69" s="140">
        <v>9800</v>
      </c>
      <c r="D69" s="141">
        <v>0.25654565158646475</v>
      </c>
      <c r="E69" s="141">
        <v>0.69338634054481885</v>
      </c>
      <c r="F69" s="141">
        <v>5.0068007868716319E-2</v>
      </c>
      <c r="G69" s="142">
        <f t="shared" si="0"/>
        <v>2514.1473855473546</v>
      </c>
      <c r="H69" s="142">
        <f t="shared" si="1"/>
        <v>6795.1861373392248</v>
      </c>
      <c r="I69" s="142">
        <f t="shared" si="2"/>
        <v>490.66647711341994</v>
      </c>
      <c r="J69" s="143">
        <f t="shared" si="39"/>
        <v>1048.3994597732469</v>
      </c>
      <c r="K69" s="143">
        <f t="shared" si="40"/>
        <v>2833.5926192704569</v>
      </c>
      <c r="L69" s="143">
        <f t="shared" si="41"/>
        <v>204.60792095629614</v>
      </c>
      <c r="M69" s="145">
        <f t="shared" si="29"/>
        <v>4086.6</v>
      </c>
      <c r="N69" s="149" t="e">
        <f>#REF!/100</f>
        <v>#REF!</v>
      </c>
      <c r="O69" s="149" t="e">
        <f>#REF!/100</f>
        <v>#REF!</v>
      </c>
      <c r="P69" s="149" t="e">
        <f>#REF!/50</f>
        <v>#REF!</v>
      </c>
      <c r="Q69" s="148"/>
      <c r="R69" s="148" t="e">
        <f t="shared" si="9"/>
        <v>#REF!</v>
      </c>
      <c r="S69" s="148" t="e">
        <f t="shared" si="43"/>
        <v>#REF!</v>
      </c>
      <c r="T69" s="148" t="e">
        <f t="shared" si="43"/>
        <v>#REF!</v>
      </c>
      <c r="U69" s="148"/>
      <c r="V69" s="148"/>
      <c r="W69" s="148"/>
      <c r="X69" s="148"/>
      <c r="Y69" s="148"/>
      <c r="Z69" s="150">
        <f t="shared" si="42"/>
        <v>3</v>
      </c>
      <c r="AA69" s="154">
        <v>2</v>
      </c>
      <c r="AB69" s="159">
        <f t="shared" si="12"/>
        <v>4</v>
      </c>
      <c r="AC69" s="149">
        <f t="shared" si="13"/>
        <v>2</v>
      </c>
      <c r="AD69" s="149">
        <f t="shared" si="17"/>
        <v>0.66666666666666663</v>
      </c>
      <c r="AE69" s="315">
        <v>1</v>
      </c>
      <c r="AF69" s="286"/>
      <c r="AG69" s="284"/>
      <c r="AH69" s="148"/>
      <c r="AI69" s="148"/>
      <c r="AJ69" s="148"/>
      <c r="AK69" s="148"/>
      <c r="AL69" s="148"/>
      <c r="AM69" s="148"/>
      <c r="AN69" s="148"/>
      <c r="AO69" s="148"/>
      <c r="AP69" s="150"/>
      <c r="AQ69" s="154"/>
    </row>
    <row r="70" spans="1:43" ht="17.25" thickTop="1" thickBot="1" x14ac:dyDescent="0.3">
      <c r="A70" s="138" t="s">
        <v>169</v>
      </c>
      <c r="B70" s="153" t="s">
        <v>187</v>
      </c>
      <c r="C70" s="140">
        <v>9800</v>
      </c>
      <c r="D70" s="141">
        <v>0.3055408036820676</v>
      </c>
      <c r="E70" s="141">
        <v>0.43618339529120204</v>
      </c>
      <c r="F70" s="141">
        <v>0.25827580102673042</v>
      </c>
      <c r="G70" s="142">
        <f t="shared" si="0"/>
        <v>2994.2998760842625</v>
      </c>
      <c r="H70" s="142">
        <f t="shared" si="1"/>
        <v>4274.5972738537803</v>
      </c>
      <c r="I70" s="142">
        <f t="shared" si="2"/>
        <v>2531.1028500619582</v>
      </c>
      <c r="J70" s="143">
        <f t="shared" si="39"/>
        <v>1248.6230483271377</v>
      </c>
      <c r="K70" s="143">
        <f t="shared" si="40"/>
        <v>1782.5070631970266</v>
      </c>
      <c r="L70" s="143">
        <f t="shared" si="41"/>
        <v>1055.4698884758366</v>
      </c>
      <c r="M70" s="145">
        <f t="shared" si="29"/>
        <v>4086.6000000000004</v>
      </c>
      <c r="N70" s="149" t="e">
        <f>#REF!/100</f>
        <v>#REF!</v>
      </c>
      <c r="O70" s="149" t="e">
        <f>#REF!/100</f>
        <v>#REF!</v>
      </c>
      <c r="P70" s="149" t="e">
        <f>#REF!/50</f>
        <v>#REF!</v>
      </c>
      <c r="Q70" s="148"/>
      <c r="R70" s="148" t="e">
        <f t="shared" si="9"/>
        <v>#REF!</v>
      </c>
      <c r="S70" s="148" t="e">
        <f t="shared" si="43"/>
        <v>#REF!</v>
      </c>
      <c r="T70" s="148" t="e">
        <f t="shared" si="43"/>
        <v>#REF!</v>
      </c>
      <c r="U70" s="148"/>
      <c r="V70" s="148"/>
      <c r="W70" s="148"/>
      <c r="X70" s="148"/>
      <c r="Y70" s="148"/>
      <c r="Z70" s="150">
        <f t="shared" si="42"/>
        <v>3</v>
      </c>
      <c r="AA70" s="154">
        <v>2</v>
      </c>
      <c r="AB70" s="159">
        <f t="shared" si="12"/>
        <v>4</v>
      </c>
      <c r="AC70" s="149">
        <f t="shared" si="13"/>
        <v>2</v>
      </c>
      <c r="AD70" s="149">
        <f t="shared" si="17"/>
        <v>0.66666666666666663</v>
      </c>
      <c r="AE70" s="315">
        <v>1</v>
      </c>
      <c r="AF70" s="286"/>
      <c r="AG70" s="284"/>
      <c r="AH70" s="148"/>
      <c r="AI70" s="148"/>
      <c r="AJ70" s="148"/>
      <c r="AK70" s="148"/>
      <c r="AL70" s="148"/>
      <c r="AM70" s="148"/>
      <c r="AN70" s="148"/>
      <c r="AO70" s="148"/>
      <c r="AP70" s="150"/>
      <c r="AQ70" s="154"/>
    </row>
    <row r="71" spans="1:43" ht="19.5" thickTop="1" thickBot="1" x14ac:dyDescent="0.3">
      <c r="A71" s="138"/>
      <c r="B71" s="153"/>
      <c r="C71" s="308">
        <f>SUM(C52:C70)</f>
        <v>244992</v>
      </c>
      <c r="D71" s="141"/>
      <c r="E71" s="141"/>
      <c r="F71" s="141"/>
      <c r="G71" s="308">
        <f>SUM(G52:G70)</f>
        <v>113431.92117888552</v>
      </c>
      <c r="H71" s="308">
        <f t="shared" ref="H71:AF71" si="44">SUM(H52:H70)</f>
        <v>95301.535123131893</v>
      </c>
      <c r="I71" s="308">
        <f t="shared" si="44"/>
        <v>36258.543697982597</v>
      </c>
      <c r="J71" s="308">
        <f t="shared" si="44"/>
        <v>47301.111131595258</v>
      </c>
      <c r="K71" s="308">
        <f t="shared" si="44"/>
        <v>39740.740146345997</v>
      </c>
      <c r="L71" s="308">
        <f t="shared" si="44"/>
        <v>15119.812722058747</v>
      </c>
      <c r="M71" s="308">
        <f t="shared" si="44"/>
        <v>102161.66400000002</v>
      </c>
      <c r="N71" s="308" t="e">
        <f t="shared" si="44"/>
        <v>#REF!</v>
      </c>
      <c r="O71" s="308" t="e">
        <f t="shared" si="44"/>
        <v>#REF!</v>
      </c>
      <c r="P71" s="308" t="e">
        <f t="shared" si="44"/>
        <v>#REF!</v>
      </c>
      <c r="Q71" s="308">
        <f t="shared" si="44"/>
        <v>0</v>
      </c>
      <c r="R71" s="308" t="e">
        <f t="shared" si="44"/>
        <v>#REF!</v>
      </c>
      <c r="S71" s="308" t="e">
        <f t="shared" si="44"/>
        <v>#REF!</v>
      </c>
      <c r="T71" s="308" t="e">
        <f t="shared" si="44"/>
        <v>#REF!</v>
      </c>
      <c r="U71" s="308">
        <f t="shared" si="44"/>
        <v>0</v>
      </c>
      <c r="V71" s="308">
        <f t="shared" si="44"/>
        <v>0</v>
      </c>
      <c r="W71" s="308">
        <f t="shared" si="44"/>
        <v>0</v>
      </c>
      <c r="X71" s="308">
        <f t="shared" si="44"/>
        <v>0</v>
      </c>
      <c r="Y71" s="308">
        <f t="shared" si="44"/>
        <v>0</v>
      </c>
      <c r="Z71" s="308">
        <f t="shared" si="44"/>
        <v>86</v>
      </c>
      <c r="AA71" s="308">
        <f t="shared" si="44"/>
        <v>70</v>
      </c>
      <c r="AB71" s="308">
        <f t="shared" si="44"/>
        <v>140</v>
      </c>
      <c r="AC71" s="308">
        <f t="shared" si="44"/>
        <v>70</v>
      </c>
      <c r="AD71" s="308">
        <f t="shared" si="44"/>
        <v>23.333333333333336</v>
      </c>
      <c r="AE71" s="309">
        <f t="shared" si="44"/>
        <v>23</v>
      </c>
      <c r="AF71" s="310">
        <f t="shared" si="44"/>
        <v>6</v>
      </c>
      <c r="AG71" s="284"/>
      <c r="AH71" s="148"/>
      <c r="AI71" s="148"/>
      <c r="AJ71" s="148"/>
      <c r="AK71" s="148"/>
      <c r="AL71" s="148"/>
      <c r="AM71" s="148"/>
      <c r="AN71" s="148"/>
      <c r="AO71" s="148"/>
      <c r="AP71" s="150"/>
      <c r="AQ71" s="154"/>
    </row>
    <row r="72" spans="1:43" ht="17.25" thickTop="1" thickBot="1" x14ac:dyDescent="0.3">
      <c r="A72" s="138" t="s">
        <v>188</v>
      </c>
      <c r="B72" s="153" t="s">
        <v>189</v>
      </c>
      <c r="C72" s="140">
        <v>7804</v>
      </c>
      <c r="D72" s="141">
        <v>0.13643685567010308</v>
      </c>
      <c r="E72" s="141">
        <v>0.86356314432989689</v>
      </c>
      <c r="F72" s="141">
        <v>0</v>
      </c>
      <c r="G72" s="142">
        <f t="shared" si="0"/>
        <v>1064.7532216494844</v>
      </c>
      <c r="H72" s="142">
        <f t="shared" si="1"/>
        <v>6739.2467783505153</v>
      </c>
      <c r="I72" s="142">
        <f t="shared" si="2"/>
        <v>0</v>
      </c>
      <c r="J72" s="143">
        <f>G72*41.7%</f>
        <v>444.00209342783506</v>
      </c>
      <c r="K72" s="143">
        <f t="shared" ref="K72:L72" si="45">H72*41.7%</f>
        <v>2810.265906572165</v>
      </c>
      <c r="L72" s="143">
        <f t="shared" si="45"/>
        <v>0</v>
      </c>
      <c r="M72" s="145">
        <f t="shared" si="29"/>
        <v>3254.268</v>
      </c>
      <c r="N72" s="149" t="e">
        <f>#REF!/100</f>
        <v>#REF!</v>
      </c>
      <c r="O72" s="149" t="e">
        <f>#REF!/100</f>
        <v>#REF!</v>
      </c>
      <c r="P72" s="149" t="e">
        <f>#REF!/50</f>
        <v>#REF!</v>
      </c>
      <c r="Q72" s="148"/>
      <c r="R72" s="148" t="e">
        <f t="shared" si="9"/>
        <v>#REF!</v>
      </c>
      <c r="S72" s="148" t="e">
        <f t="shared" si="43"/>
        <v>#REF!</v>
      </c>
      <c r="T72" s="148" t="e">
        <f t="shared" si="43"/>
        <v>#REF!</v>
      </c>
      <c r="U72" s="148"/>
      <c r="V72" s="148"/>
      <c r="W72" s="148"/>
      <c r="X72" s="148"/>
      <c r="Y72" s="148"/>
      <c r="Z72" s="150">
        <f>ROUND(M72/120/10,0)</f>
        <v>3</v>
      </c>
      <c r="AA72" s="154">
        <v>2</v>
      </c>
      <c r="AB72" s="161">
        <f t="shared" si="12"/>
        <v>4</v>
      </c>
      <c r="AC72" s="149">
        <f t="shared" si="13"/>
        <v>2</v>
      </c>
      <c r="AD72" s="149">
        <f t="shared" si="17"/>
        <v>0.66666666666666663</v>
      </c>
      <c r="AE72" s="318">
        <v>1</v>
      </c>
      <c r="AF72" s="286"/>
      <c r="AG72" s="284"/>
      <c r="AH72" s="148"/>
      <c r="AI72" s="148"/>
      <c r="AJ72" s="148"/>
      <c r="AK72" s="148"/>
      <c r="AL72" s="148"/>
      <c r="AM72" s="148"/>
      <c r="AN72" s="148"/>
      <c r="AO72" s="148"/>
      <c r="AP72" s="150"/>
      <c r="AQ72" s="154"/>
    </row>
    <row r="73" spans="1:43" ht="17.25" thickTop="1" thickBot="1" x14ac:dyDescent="0.3">
      <c r="A73" s="138" t="s">
        <v>188</v>
      </c>
      <c r="B73" s="153" t="s">
        <v>190</v>
      </c>
      <c r="C73" s="140">
        <v>5463</v>
      </c>
      <c r="D73" s="141">
        <v>0.11001642036124795</v>
      </c>
      <c r="E73" s="141">
        <v>0.50647692027002367</v>
      </c>
      <c r="F73" s="141">
        <v>0.38350665936872835</v>
      </c>
      <c r="G73" s="142">
        <f t="shared" si="0"/>
        <v>601.01970443349751</v>
      </c>
      <c r="H73" s="142">
        <f t="shared" si="1"/>
        <v>2766.8834154351393</v>
      </c>
      <c r="I73" s="142">
        <f t="shared" si="2"/>
        <v>2095.0968801313629</v>
      </c>
      <c r="J73" s="143">
        <f t="shared" ref="J73:J76" si="46">G73*41.7%</f>
        <v>250.62521674876848</v>
      </c>
      <c r="K73" s="143">
        <f t="shared" ref="K73:K76" si="47">H73*41.7%</f>
        <v>1153.7903842364533</v>
      </c>
      <c r="L73" s="143">
        <f t="shared" ref="L73:L76" si="48">I73*41.7%</f>
        <v>873.65539901477837</v>
      </c>
      <c r="M73" s="145">
        <f t="shared" si="29"/>
        <v>2278.0709999999999</v>
      </c>
      <c r="N73" s="149" t="e">
        <f>#REF!/100</f>
        <v>#REF!</v>
      </c>
      <c r="O73" s="149" t="e">
        <f>#REF!/100</f>
        <v>#REF!</v>
      </c>
      <c r="P73" s="149" t="e">
        <f>#REF!/50</f>
        <v>#REF!</v>
      </c>
      <c r="Q73" s="148"/>
      <c r="R73" s="148" t="e">
        <f t="shared" si="9"/>
        <v>#REF!</v>
      </c>
      <c r="S73" s="148" t="e">
        <f t="shared" si="43"/>
        <v>#REF!</v>
      </c>
      <c r="T73" s="148" t="e">
        <f t="shared" si="43"/>
        <v>#REF!</v>
      </c>
      <c r="U73" s="148"/>
      <c r="V73" s="148"/>
      <c r="W73" s="148"/>
      <c r="X73" s="148"/>
      <c r="Y73" s="148"/>
      <c r="Z73" s="150">
        <f t="shared" ref="Z73:Z76" si="49">ROUND(M73/120/10,0)</f>
        <v>2</v>
      </c>
      <c r="AA73" s="154">
        <v>2</v>
      </c>
      <c r="AB73" s="161">
        <f t="shared" si="12"/>
        <v>4</v>
      </c>
      <c r="AC73" s="149">
        <f t="shared" si="13"/>
        <v>2</v>
      </c>
      <c r="AD73" s="149">
        <f t="shared" si="17"/>
        <v>0.66666666666666663</v>
      </c>
      <c r="AE73" s="318">
        <v>1</v>
      </c>
      <c r="AF73" s="286"/>
      <c r="AG73" s="284"/>
      <c r="AH73" s="148"/>
      <c r="AI73" s="148"/>
      <c r="AJ73" s="148"/>
      <c r="AK73" s="148"/>
      <c r="AL73" s="148"/>
      <c r="AM73" s="148"/>
      <c r="AN73" s="148"/>
      <c r="AO73" s="148"/>
      <c r="AP73" s="150"/>
      <c r="AQ73" s="154"/>
    </row>
    <row r="74" spans="1:43" ht="17.25" thickTop="1" thickBot="1" x14ac:dyDescent="0.3">
      <c r="A74" s="138" t="s">
        <v>188</v>
      </c>
      <c r="B74" s="153" t="s">
        <v>191</v>
      </c>
      <c r="C74" s="140">
        <v>18731</v>
      </c>
      <c r="D74" s="141">
        <v>0.29588411941353115</v>
      </c>
      <c r="E74" s="141">
        <v>0.54142377671789432</v>
      </c>
      <c r="F74" s="141">
        <v>0.16269210386857447</v>
      </c>
      <c r="G74" s="142">
        <f t="shared" si="0"/>
        <v>5542.2054407348523</v>
      </c>
      <c r="H74" s="142">
        <f t="shared" si="1"/>
        <v>10141.408761702878</v>
      </c>
      <c r="I74" s="142">
        <f t="shared" si="2"/>
        <v>3047.3857975622682</v>
      </c>
      <c r="J74" s="143">
        <f t="shared" si="46"/>
        <v>2311.0996687864335</v>
      </c>
      <c r="K74" s="143">
        <f t="shared" si="47"/>
        <v>4228.9674536301009</v>
      </c>
      <c r="L74" s="143">
        <f t="shared" si="48"/>
        <v>1270.7598775834661</v>
      </c>
      <c r="M74" s="145">
        <f t="shared" si="29"/>
        <v>7810.8270000000002</v>
      </c>
      <c r="N74" s="149" t="e">
        <f>#REF!/100</f>
        <v>#REF!</v>
      </c>
      <c r="O74" s="149" t="e">
        <f>#REF!/100</f>
        <v>#REF!</v>
      </c>
      <c r="P74" s="149" t="e">
        <f>#REF!/50</f>
        <v>#REF!</v>
      </c>
      <c r="Q74" s="148"/>
      <c r="R74" s="148" t="e">
        <f t="shared" si="9"/>
        <v>#REF!</v>
      </c>
      <c r="S74" s="148" t="e">
        <f t="shared" si="43"/>
        <v>#REF!</v>
      </c>
      <c r="T74" s="148" t="e">
        <f t="shared" si="43"/>
        <v>#REF!</v>
      </c>
      <c r="U74" s="148"/>
      <c r="V74" s="148"/>
      <c r="W74" s="148"/>
      <c r="X74" s="148"/>
      <c r="Y74" s="148"/>
      <c r="Z74" s="150">
        <f t="shared" si="49"/>
        <v>7</v>
      </c>
      <c r="AA74" s="154">
        <v>6</v>
      </c>
      <c r="AB74" s="161">
        <f t="shared" si="12"/>
        <v>12</v>
      </c>
      <c r="AC74" s="149">
        <f t="shared" si="13"/>
        <v>6</v>
      </c>
      <c r="AD74" s="149">
        <f t="shared" si="17"/>
        <v>2</v>
      </c>
      <c r="AE74" s="318">
        <v>2</v>
      </c>
      <c r="AF74" s="286"/>
      <c r="AG74" s="284"/>
      <c r="AH74" s="148"/>
      <c r="AI74" s="148"/>
      <c r="AJ74" s="148"/>
      <c r="AK74" s="148"/>
      <c r="AL74" s="148"/>
      <c r="AM74" s="148"/>
      <c r="AN74" s="148"/>
      <c r="AO74" s="148"/>
      <c r="AP74" s="150"/>
      <c r="AQ74" s="154"/>
    </row>
    <row r="75" spans="1:43" ht="17.25" thickTop="1" thickBot="1" x14ac:dyDescent="0.3">
      <c r="A75" s="138" t="s">
        <v>188</v>
      </c>
      <c r="B75" s="153" t="s">
        <v>188</v>
      </c>
      <c r="C75" s="140">
        <v>38242</v>
      </c>
      <c r="D75" s="141">
        <v>0.47457132128999957</v>
      </c>
      <c r="E75" s="141">
        <v>0.47010722182819475</v>
      </c>
      <c r="F75" s="141">
        <v>5.5321456881805668E-2</v>
      </c>
      <c r="G75" s="142">
        <f t="shared" si="0"/>
        <v>18148.556468772163</v>
      </c>
      <c r="H75" s="142">
        <f t="shared" si="1"/>
        <v>17977.840377153825</v>
      </c>
      <c r="I75" s="142">
        <f t="shared" si="2"/>
        <v>2115.6031540740123</v>
      </c>
      <c r="J75" s="143">
        <f t="shared" si="46"/>
        <v>7567.948047477993</v>
      </c>
      <c r="K75" s="143">
        <f t="shared" si="47"/>
        <v>7496.7594372731455</v>
      </c>
      <c r="L75" s="143">
        <f t="shared" si="48"/>
        <v>882.20651524886318</v>
      </c>
      <c r="M75" s="145">
        <f t="shared" si="29"/>
        <v>15946.914000000002</v>
      </c>
      <c r="N75" s="149" t="e">
        <f>#REF!/100</f>
        <v>#REF!</v>
      </c>
      <c r="O75" s="149" t="e">
        <f>#REF!/100</f>
        <v>#REF!</v>
      </c>
      <c r="P75" s="149" t="e">
        <f>#REF!/50</f>
        <v>#REF!</v>
      </c>
      <c r="Q75" s="148"/>
      <c r="R75" s="148" t="e">
        <f t="shared" si="9"/>
        <v>#REF!</v>
      </c>
      <c r="S75" s="148" t="e">
        <f t="shared" si="43"/>
        <v>#REF!</v>
      </c>
      <c r="T75" s="148" t="e">
        <f t="shared" si="43"/>
        <v>#REF!</v>
      </c>
      <c r="U75" s="148"/>
      <c r="V75" s="148"/>
      <c r="W75" s="148"/>
      <c r="X75" s="148"/>
      <c r="Y75" s="148"/>
      <c r="Z75" s="150">
        <f t="shared" si="49"/>
        <v>13</v>
      </c>
      <c r="AA75" s="154">
        <v>7</v>
      </c>
      <c r="AB75" s="161">
        <f t="shared" si="12"/>
        <v>14</v>
      </c>
      <c r="AC75" s="149">
        <f t="shared" si="13"/>
        <v>7</v>
      </c>
      <c r="AD75" s="149">
        <f t="shared" si="17"/>
        <v>2.3333333333333335</v>
      </c>
      <c r="AE75" s="318">
        <f>3-1</f>
        <v>2</v>
      </c>
      <c r="AF75" s="286">
        <v>2</v>
      </c>
      <c r="AG75" s="284"/>
      <c r="AH75" s="148"/>
      <c r="AI75" s="148"/>
      <c r="AJ75" s="148"/>
      <c r="AK75" s="148"/>
      <c r="AL75" s="148"/>
      <c r="AM75" s="148"/>
      <c r="AN75" s="148"/>
      <c r="AO75" s="148"/>
      <c r="AP75" s="150"/>
      <c r="AQ75" s="154"/>
    </row>
    <row r="76" spans="1:43" ht="17.25" thickTop="1" thickBot="1" x14ac:dyDescent="0.3">
      <c r="A76" s="138" t="s">
        <v>188</v>
      </c>
      <c r="B76" s="153" t="s">
        <v>192</v>
      </c>
      <c r="C76" s="140">
        <v>7804</v>
      </c>
      <c r="D76" s="141">
        <v>0.47309359857179289</v>
      </c>
      <c r="E76" s="141">
        <v>0.46518745218056617</v>
      </c>
      <c r="F76" s="141">
        <v>6.171894924764091E-2</v>
      </c>
      <c r="G76" s="142">
        <f t="shared" si="0"/>
        <v>3692.0224432542718</v>
      </c>
      <c r="H76" s="142">
        <f t="shared" si="1"/>
        <v>3630.3228768171384</v>
      </c>
      <c r="I76" s="142">
        <f t="shared" si="2"/>
        <v>481.65467992858964</v>
      </c>
      <c r="J76" s="143">
        <f t="shared" si="46"/>
        <v>1539.5733588370315</v>
      </c>
      <c r="K76" s="143">
        <f t="shared" si="47"/>
        <v>1513.8446396327467</v>
      </c>
      <c r="L76" s="143">
        <f t="shared" si="48"/>
        <v>200.8500015302219</v>
      </c>
      <c r="M76" s="145">
        <f t="shared" si="29"/>
        <v>3254.2680000000005</v>
      </c>
      <c r="N76" s="149" t="e">
        <f>#REF!/100</f>
        <v>#REF!</v>
      </c>
      <c r="O76" s="149" t="e">
        <f>#REF!/100</f>
        <v>#REF!</v>
      </c>
      <c r="P76" s="149" t="e">
        <f>#REF!/50</f>
        <v>#REF!</v>
      </c>
      <c r="Q76" s="148"/>
      <c r="R76" s="148" t="e">
        <f t="shared" si="9"/>
        <v>#REF!</v>
      </c>
      <c r="S76" s="148" t="e">
        <f t="shared" si="43"/>
        <v>#REF!</v>
      </c>
      <c r="T76" s="148" t="e">
        <f t="shared" si="43"/>
        <v>#REF!</v>
      </c>
      <c r="U76" s="148"/>
      <c r="V76" s="148"/>
      <c r="W76" s="148"/>
      <c r="X76" s="148"/>
      <c r="Y76" s="148"/>
      <c r="Z76" s="150">
        <f t="shared" si="49"/>
        <v>3</v>
      </c>
      <c r="AA76" s="154">
        <v>2</v>
      </c>
      <c r="AB76" s="161">
        <f t="shared" si="12"/>
        <v>4</v>
      </c>
      <c r="AC76" s="149">
        <f t="shared" si="13"/>
        <v>2</v>
      </c>
      <c r="AD76" s="149">
        <f t="shared" si="17"/>
        <v>0.66666666666666663</v>
      </c>
      <c r="AE76" s="318">
        <v>1</v>
      </c>
      <c r="AF76" s="286"/>
      <c r="AG76" s="284"/>
      <c r="AH76" s="148"/>
      <c r="AI76" s="148"/>
      <c r="AJ76" s="148"/>
      <c r="AK76" s="148"/>
      <c r="AL76" s="148"/>
      <c r="AM76" s="148"/>
      <c r="AN76" s="148"/>
      <c r="AO76" s="148"/>
      <c r="AP76" s="150"/>
      <c r="AQ76" s="154"/>
    </row>
    <row r="77" spans="1:43" ht="19.5" thickTop="1" thickBot="1" x14ac:dyDescent="0.3">
      <c r="A77" s="138"/>
      <c r="B77" s="153"/>
      <c r="C77" s="308">
        <f>SUM(C72:C76)</f>
        <v>78044</v>
      </c>
      <c r="D77" s="141"/>
      <c r="E77" s="141"/>
      <c r="F77" s="141"/>
      <c r="G77" s="308">
        <f>SUM(G72:G76)</f>
        <v>29048.55727884427</v>
      </c>
      <c r="H77" s="308">
        <f t="shared" ref="H77:AF77" si="50">SUM(H72:H76)</f>
        <v>41255.702209459501</v>
      </c>
      <c r="I77" s="308">
        <f t="shared" si="50"/>
        <v>7739.7405116962336</v>
      </c>
      <c r="J77" s="308">
        <f t="shared" si="50"/>
        <v>12113.248385278061</v>
      </c>
      <c r="K77" s="308">
        <f t="shared" si="50"/>
        <v>17203.627821344613</v>
      </c>
      <c r="L77" s="308">
        <f t="shared" si="50"/>
        <v>3227.4717933773295</v>
      </c>
      <c r="M77" s="308">
        <f t="shared" si="50"/>
        <v>32544.348000000002</v>
      </c>
      <c r="N77" s="308" t="e">
        <f t="shared" si="50"/>
        <v>#REF!</v>
      </c>
      <c r="O77" s="308" t="e">
        <f t="shared" si="50"/>
        <v>#REF!</v>
      </c>
      <c r="P77" s="308" t="e">
        <f t="shared" si="50"/>
        <v>#REF!</v>
      </c>
      <c r="Q77" s="308">
        <f t="shared" si="50"/>
        <v>0</v>
      </c>
      <c r="R77" s="308" t="e">
        <f t="shared" si="50"/>
        <v>#REF!</v>
      </c>
      <c r="S77" s="308" t="e">
        <f t="shared" si="50"/>
        <v>#REF!</v>
      </c>
      <c r="T77" s="308" t="e">
        <f t="shared" si="50"/>
        <v>#REF!</v>
      </c>
      <c r="U77" s="308">
        <f t="shared" si="50"/>
        <v>0</v>
      </c>
      <c r="V77" s="308">
        <f t="shared" si="50"/>
        <v>0</v>
      </c>
      <c r="W77" s="308">
        <f t="shared" si="50"/>
        <v>0</v>
      </c>
      <c r="X77" s="308">
        <f t="shared" si="50"/>
        <v>0</v>
      </c>
      <c r="Y77" s="308">
        <f t="shared" si="50"/>
        <v>0</v>
      </c>
      <c r="Z77" s="308">
        <f t="shared" si="50"/>
        <v>28</v>
      </c>
      <c r="AA77" s="308">
        <f t="shared" si="50"/>
        <v>19</v>
      </c>
      <c r="AB77" s="308">
        <f t="shared" si="50"/>
        <v>38</v>
      </c>
      <c r="AC77" s="308">
        <f t="shared" si="50"/>
        <v>19</v>
      </c>
      <c r="AD77" s="308">
        <f t="shared" si="50"/>
        <v>6.333333333333333</v>
      </c>
      <c r="AE77" s="309">
        <f t="shared" si="50"/>
        <v>7</v>
      </c>
      <c r="AF77" s="310">
        <f t="shared" si="50"/>
        <v>2</v>
      </c>
      <c r="AG77" s="284"/>
      <c r="AH77" s="148"/>
      <c r="AI77" s="148"/>
      <c r="AJ77" s="148"/>
      <c r="AK77" s="148"/>
      <c r="AL77" s="148"/>
      <c r="AM77" s="148"/>
      <c r="AN77" s="148"/>
      <c r="AO77" s="148"/>
      <c r="AP77" s="150"/>
      <c r="AQ77" s="154"/>
    </row>
    <row r="78" spans="1:43" ht="17.25" thickTop="1" thickBot="1" x14ac:dyDescent="0.3">
      <c r="A78" s="138" t="s">
        <v>193</v>
      </c>
      <c r="B78" s="153" t="s">
        <v>194</v>
      </c>
      <c r="C78" s="735">
        <v>6303</v>
      </c>
      <c r="D78" s="141">
        <v>0.47766140792788014</v>
      </c>
      <c r="E78" s="141">
        <v>0.15842502982898052</v>
      </c>
      <c r="F78" s="141">
        <v>0.36391356224313931</v>
      </c>
      <c r="G78" s="142">
        <f t="shared" si="0"/>
        <v>3010.6998541694284</v>
      </c>
      <c r="H78" s="142">
        <f t="shared" si="1"/>
        <v>998.5529630120642</v>
      </c>
      <c r="I78" s="142">
        <f t="shared" si="2"/>
        <v>2293.7471828185071</v>
      </c>
      <c r="J78" s="143">
        <f>G78*41.7%</f>
        <v>1255.4618391886518</v>
      </c>
      <c r="K78" s="143">
        <f t="shared" ref="K78:L78" si="51">H78*41.7%</f>
        <v>416.39658557603082</v>
      </c>
      <c r="L78" s="143">
        <f t="shared" si="51"/>
        <v>956.49257523531753</v>
      </c>
      <c r="M78" s="145">
        <f t="shared" si="29"/>
        <v>2628.3510000000001</v>
      </c>
      <c r="N78" s="149" t="e">
        <f>#REF!/100</f>
        <v>#REF!</v>
      </c>
      <c r="O78" s="149" t="e">
        <f>#REF!/100</f>
        <v>#REF!</v>
      </c>
      <c r="P78" s="149" t="e">
        <f>#REF!/50</f>
        <v>#REF!</v>
      </c>
      <c r="Q78" s="148"/>
      <c r="R78" s="148" t="e">
        <f t="shared" si="9"/>
        <v>#REF!</v>
      </c>
      <c r="S78" s="148" t="e">
        <f t="shared" si="43"/>
        <v>#REF!</v>
      </c>
      <c r="T78" s="148" t="e">
        <f t="shared" si="43"/>
        <v>#REF!</v>
      </c>
      <c r="U78" s="148"/>
      <c r="V78" s="148"/>
      <c r="W78" s="148"/>
      <c r="X78" s="148"/>
      <c r="Y78" s="148"/>
      <c r="Z78" s="150">
        <f>ROUND(M78/120/10,0)</f>
        <v>2</v>
      </c>
      <c r="AA78" s="154">
        <v>2</v>
      </c>
      <c r="AB78" s="162">
        <f t="shared" si="12"/>
        <v>4</v>
      </c>
      <c r="AC78" s="149">
        <f t="shared" si="13"/>
        <v>2</v>
      </c>
      <c r="AD78" s="149">
        <f t="shared" si="17"/>
        <v>0.66666666666666663</v>
      </c>
      <c r="AE78" s="319">
        <v>1</v>
      </c>
      <c r="AF78" s="286"/>
      <c r="AG78" s="284"/>
      <c r="AH78" s="148"/>
      <c r="AI78" s="148"/>
      <c r="AJ78" s="148"/>
      <c r="AK78" s="148"/>
      <c r="AL78" s="148"/>
      <c r="AM78" s="148"/>
      <c r="AN78" s="148"/>
      <c r="AO78" s="148"/>
      <c r="AP78" s="150"/>
      <c r="AQ78" s="154"/>
    </row>
    <row r="79" spans="1:43" ht="17.25" thickTop="1" thickBot="1" x14ac:dyDescent="0.3">
      <c r="A79" s="138" t="s">
        <v>193</v>
      </c>
      <c r="B79" s="153" t="s">
        <v>195</v>
      </c>
      <c r="C79" s="735">
        <v>6303</v>
      </c>
      <c r="D79" s="141">
        <v>1.4266304347826086E-2</v>
      </c>
      <c r="E79" s="141">
        <v>0.22724184782608695</v>
      </c>
      <c r="F79" s="141">
        <v>0.75849184782608692</v>
      </c>
      <c r="G79" s="142">
        <f t="shared" si="0"/>
        <v>89.920516304347828</v>
      </c>
      <c r="H79" s="142">
        <f t="shared" si="1"/>
        <v>1432.305366847826</v>
      </c>
      <c r="I79" s="142">
        <f t="shared" si="2"/>
        <v>4780.774116847826</v>
      </c>
      <c r="J79" s="143">
        <f t="shared" ref="J79:J96" si="52">G79*41.7%</f>
        <v>37.496855298913047</v>
      </c>
      <c r="K79" s="143">
        <f t="shared" ref="K79:K96" si="53">H79*41.7%</f>
        <v>597.27133797554347</v>
      </c>
      <c r="L79" s="143">
        <f t="shared" ref="L79:L96" si="54">I79*41.7%</f>
        <v>1993.5828067255436</v>
      </c>
      <c r="M79" s="145">
        <f t="shared" si="29"/>
        <v>2628.3510000000001</v>
      </c>
      <c r="N79" s="149" t="e">
        <f>#REF!/100</f>
        <v>#REF!</v>
      </c>
      <c r="O79" s="149" t="e">
        <f>#REF!/100</f>
        <v>#REF!</v>
      </c>
      <c r="P79" s="149" t="e">
        <f>#REF!/50</f>
        <v>#REF!</v>
      </c>
      <c r="Q79" s="148"/>
      <c r="R79" s="148" t="e">
        <f t="shared" si="9"/>
        <v>#REF!</v>
      </c>
      <c r="S79" s="148" t="e">
        <f t="shared" si="43"/>
        <v>#REF!</v>
      </c>
      <c r="T79" s="148" t="e">
        <f t="shared" si="43"/>
        <v>#REF!</v>
      </c>
      <c r="U79" s="148"/>
      <c r="V79" s="148"/>
      <c r="W79" s="148"/>
      <c r="X79" s="148"/>
      <c r="Y79" s="148"/>
      <c r="Z79" s="150">
        <f t="shared" ref="Z79:Z96" si="55">ROUND(M79/120/10,0)</f>
        <v>2</v>
      </c>
      <c r="AA79" s="154">
        <v>2</v>
      </c>
      <c r="AB79" s="162">
        <f t="shared" si="12"/>
        <v>4</v>
      </c>
      <c r="AC79" s="149">
        <f t="shared" si="13"/>
        <v>2</v>
      </c>
      <c r="AD79" s="149">
        <f t="shared" si="17"/>
        <v>0.66666666666666663</v>
      </c>
      <c r="AE79" s="319">
        <v>1</v>
      </c>
      <c r="AF79" s="286"/>
      <c r="AG79" s="284"/>
      <c r="AH79" s="148"/>
      <c r="AI79" s="148"/>
      <c r="AJ79" s="148"/>
      <c r="AK79" s="148"/>
      <c r="AL79" s="148"/>
      <c r="AM79" s="148"/>
      <c r="AN79" s="148"/>
      <c r="AO79" s="148"/>
      <c r="AP79" s="150"/>
      <c r="AQ79" s="154"/>
    </row>
    <row r="80" spans="1:43" ht="17.25" thickTop="1" thickBot="1" x14ac:dyDescent="0.3">
      <c r="A80" s="138" t="s">
        <v>193</v>
      </c>
      <c r="B80" s="153" t="s">
        <v>196</v>
      </c>
      <c r="C80" s="140">
        <v>12606</v>
      </c>
      <c r="D80" s="141">
        <v>0.20125045306270387</v>
      </c>
      <c r="E80" s="141">
        <v>0.53126132656759695</v>
      </c>
      <c r="F80" s="141">
        <v>0.26748822036969916</v>
      </c>
      <c r="G80" s="142">
        <f t="shared" si="0"/>
        <v>2536.9632113084449</v>
      </c>
      <c r="H80" s="142">
        <f t="shared" si="1"/>
        <v>6697.0802827111274</v>
      </c>
      <c r="I80" s="142">
        <f t="shared" si="2"/>
        <v>3371.9565059804277</v>
      </c>
      <c r="J80" s="143">
        <f t="shared" si="52"/>
        <v>1057.9136591156216</v>
      </c>
      <c r="K80" s="143">
        <f t="shared" si="53"/>
        <v>2792.6824778905402</v>
      </c>
      <c r="L80" s="143">
        <f t="shared" si="54"/>
        <v>1406.1058629938384</v>
      </c>
      <c r="M80" s="145">
        <f t="shared" si="29"/>
        <v>5256.7020000000002</v>
      </c>
      <c r="N80" s="149" t="e">
        <f>#REF!/100</f>
        <v>#REF!</v>
      </c>
      <c r="O80" s="149" t="e">
        <f>#REF!/100</f>
        <v>#REF!</v>
      </c>
      <c r="P80" s="149" t="e">
        <f>#REF!/50</f>
        <v>#REF!</v>
      </c>
      <c r="Q80" s="148"/>
      <c r="R80" s="148" t="e">
        <f t="shared" si="9"/>
        <v>#REF!</v>
      </c>
      <c r="S80" s="148" t="e">
        <f t="shared" si="43"/>
        <v>#REF!</v>
      </c>
      <c r="T80" s="148" t="e">
        <f t="shared" si="43"/>
        <v>#REF!</v>
      </c>
      <c r="U80" s="148"/>
      <c r="V80" s="148"/>
      <c r="W80" s="148"/>
      <c r="X80" s="148"/>
      <c r="Y80" s="148"/>
      <c r="Z80" s="150">
        <f t="shared" si="55"/>
        <v>4</v>
      </c>
      <c r="AA80" s="154">
        <v>4</v>
      </c>
      <c r="AB80" s="162">
        <f t="shared" si="12"/>
        <v>8</v>
      </c>
      <c r="AC80" s="149">
        <f t="shared" si="13"/>
        <v>4</v>
      </c>
      <c r="AD80" s="149">
        <f t="shared" si="17"/>
        <v>1.3333333333333333</v>
      </c>
      <c r="AE80" s="319">
        <v>1</v>
      </c>
      <c r="AF80" s="286"/>
      <c r="AG80" s="284"/>
      <c r="AH80" s="148"/>
      <c r="AI80" s="148"/>
      <c r="AJ80" s="148"/>
      <c r="AK80" s="148"/>
      <c r="AL80" s="148"/>
      <c r="AM80" s="148"/>
      <c r="AN80" s="148"/>
      <c r="AO80" s="148"/>
      <c r="AP80" s="150"/>
      <c r="AQ80" s="154"/>
    </row>
    <row r="81" spans="1:43" ht="17.25" thickTop="1" thickBot="1" x14ac:dyDescent="0.3">
      <c r="A81" s="138" t="s">
        <v>193</v>
      </c>
      <c r="B81" s="153" t="s">
        <v>197</v>
      </c>
      <c r="C81" s="735">
        <v>9454</v>
      </c>
      <c r="D81" s="141">
        <v>0.26192060323796851</v>
      </c>
      <c r="E81" s="141">
        <v>0.37214459968950986</v>
      </c>
      <c r="F81" s="141">
        <v>0.36593479707252163</v>
      </c>
      <c r="G81" s="142">
        <f t="shared" si="0"/>
        <v>2476.1973830117545</v>
      </c>
      <c r="H81" s="142">
        <f t="shared" si="1"/>
        <v>3518.2550454646262</v>
      </c>
      <c r="I81" s="142">
        <f t="shared" si="2"/>
        <v>3459.5475715236194</v>
      </c>
      <c r="J81" s="143">
        <f t="shared" si="52"/>
        <v>1032.5743087159017</v>
      </c>
      <c r="K81" s="143">
        <f t="shared" si="53"/>
        <v>1467.1123539587493</v>
      </c>
      <c r="L81" s="143">
        <f t="shared" si="54"/>
        <v>1442.6313373253495</v>
      </c>
      <c r="M81" s="145">
        <f t="shared" si="29"/>
        <v>3942.3180000000002</v>
      </c>
      <c r="N81" s="149" t="e">
        <f>#REF!/100</f>
        <v>#REF!</v>
      </c>
      <c r="O81" s="149" t="e">
        <f>#REF!/100</f>
        <v>#REF!</v>
      </c>
      <c r="P81" s="149" t="e">
        <f>#REF!/50</f>
        <v>#REF!</v>
      </c>
      <c r="Q81" s="148"/>
      <c r="R81" s="148" t="e">
        <f t="shared" si="9"/>
        <v>#REF!</v>
      </c>
      <c r="S81" s="148" t="e">
        <f t="shared" si="43"/>
        <v>#REF!</v>
      </c>
      <c r="T81" s="148" t="e">
        <f t="shared" si="43"/>
        <v>#REF!</v>
      </c>
      <c r="U81" s="148"/>
      <c r="V81" s="148"/>
      <c r="W81" s="148"/>
      <c r="X81" s="148"/>
      <c r="Y81" s="148"/>
      <c r="Z81" s="150">
        <f t="shared" si="55"/>
        <v>3</v>
      </c>
      <c r="AA81" s="154">
        <v>3</v>
      </c>
      <c r="AB81" s="162">
        <f t="shared" si="12"/>
        <v>6</v>
      </c>
      <c r="AC81" s="149">
        <f t="shared" si="13"/>
        <v>3</v>
      </c>
      <c r="AD81" s="149">
        <f t="shared" si="17"/>
        <v>1</v>
      </c>
      <c r="AE81" s="319">
        <v>1</v>
      </c>
      <c r="AF81" s="286"/>
      <c r="AG81" s="284"/>
      <c r="AH81" s="148"/>
      <c r="AI81" s="148"/>
      <c r="AJ81" s="148"/>
      <c r="AK81" s="148"/>
      <c r="AL81" s="148"/>
      <c r="AM81" s="148"/>
      <c r="AN81" s="148"/>
      <c r="AO81" s="148"/>
      <c r="AP81" s="150"/>
      <c r="AQ81" s="154"/>
    </row>
    <row r="82" spans="1:43" ht="17.25" thickTop="1" thickBot="1" x14ac:dyDescent="0.3">
      <c r="A82" s="138" t="s">
        <v>193</v>
      </c>
      <c r="B82" s="153" t="s">
        <v>198</v>
      </c>
      <c r="C82" s="140">
        <v>31515</v>
      </c>
      <c r="D82" s="141">
        <v>0.28598546228992083</v>
      </c>
      <c r="E82" s="141">
        <v>0.68392055187740175</v>
      </c>
      <c r="F82" s="141">
        <v>3.0093985832677438E-2</v>
      </c>
      <c r="G82" s="142">
        <f t="shared" ref="G82:G138" si="56">C82*D82</f>
        <v>9012.8318440668554</v>
      </c>
      <c r="H82" s="142">
        <f t="shared" ref="H82:H138" si="57">C82*E82</f>
        <v>21553.756192416316</v>
      </c>
      <c r="I82" s="142">
        <f t="shared" ref="I82:I138" si="58">C82*F82</f>
        <v>948.41196351682947</v>
      </c>
      <c r="J82" s="143">
        <f t="shared" si="52"/>
        <v>3758.3508789758789</v>
      </c>
      <c r="K82" s="143">
        <f t="shared" si="53"/>
        <v>8987.9163322376044</v>
      </c>
      <c r="L82" s="143">
        <f t="shared" si="54"/>
        <v>395.48778878651791</v>
      </c>
      <c r="M82" s="145">
        <f t="shared" si="29"/>
        <v>13141.755000000001</v>
      </c>
      <c r="N82" s="149" t="e">
        <f>#REF!/100</f>
        <v>#REF!</v>
      </c>
      <c r="O82" s="149" t="e">
        <f>#REF!/100</f>
        <v>#REF!</v>
      </c>
      <c r="P82" s="149" t="e">
        <f>#REF!/50</f>
        <v>#REF!</v>
      </c>
      <c r="Q82" s="148"/>
      <c r="R82" s="148" t="e">
        <f t="shared" si="9"/>
        <v>#REF!</v>
      </c>
      <c r="S82" s="148" t="e">
        <f t="shared" ref="S82:T98" si="59">ROUND(IF(R82&lt;=15,R82,15),0)</f>
        <v>#REF!</v>
      </c>
      <c r="T82" s="148" t="e">
        <f t="shared" si="59"/>
        <v>#REF!</v>
      </c>
      <c r="U82" s="148"/>
      <c r="V82" s="148"/>
      <c r="W82" s="148"/>
      <c r="X82" s="148"/>
      <c r="Y82" s="148"/>
      <c r="Z82" s="150">
        <f t="shared" si="55"/>
        <v>11</v>
      </c>
      <c r="AA82" s="154">
        <v>9</v>
      </c>
      <c r="AB82" s="162">
        <f t="shared" si="12"/>
        <v>18</v>
      </c>
      <c r="AC82" s="149">
        <f t="shared" si="13"/>
        <v>9</v>
      </c>
      <c r="AD82" s="149">
        <f t="shared" si="17"/>
        <v>3</v>
      </c>
      <c r="AE82" s="319">
        <v>2</v>
      </c>
      <c r="AF82" s="286"/>
      <c r="AG82" s="284"/>
      <c r="AH82" s="148"/>
      <c r="AI82" s="148"/>
      <c r="AJ82" s="148"/>
      <c r="AK82" s="148"/>
      <c r="AL82" s="148"/>
      <c r="AM82" s="148"/>
      <c r="AN82" s="148"/>
      <c r="AO82" s="148"/>
      <c r="AP82" s="150"/>
      <c r="AQ82" s="154"/>
    </row>
    <row r="83" spans="1:43" ht="17.25" thickTop="1" thickBot="1" x14ac:dyDescent="0.3">
      <c r="A83" s="138" t="s">
        <v>193</v>
      </c>
      <c r="B83" s="153" t="s">
        <v>199</v>
      </c>
      <c r="C83" s="140">
        <v>9454</v>
      </c>
      <c r="D83" s="141">
        <v>0.3242398408638818</v>
      </c>
      <c r="E83" s="141">
        <v>0.41986359761295822</v>
      </c>
      <c r="F83" s="141">
        <v>0.25589656152315998</v>
      </c>
      <c r="G83" s="142">
        <f t="shared" si="56"/>
        <v>3065.3634555271387</v>
      </c>
      <c r="H83" s="142">
        <f t="shared" si="57"/>
        <v>3969.3904518329068</v>
      </c>
      <c r="I83" s="142">
        <f t="shared" si="58"/>
        <v>2419.2460926399544</v>
      </c>
      <c r="J83" s="143">
        <f t="shared" si="52"/>
        <v>1278.2565609548169</v>
      </c>
      <c r="K83" s="143">
        <f t="shared" si="53"/>
        <v>1655.2358184143222</v>
      </c>
      <c r="L83" s="143">
        <f t="shared" si="54"/>
        <v>1008.8256206308611</v>
      </c>
      <c r="M83" s="145">
        <f t="shared" si="29"/>
        <v>3942.3180000000002</v>
      </c>
      <c r="N83" s="149" t="e">
        <f>#REF!/100</f>
        <v>#REF!</v>
      </c>
      <c r="O83" s="149" t="e">
        <f>#REF!/100</f>
        <v>#REF!</v>
      </c>
      <c r="P83" s="149" t="e">
        <f>#REF!/50</f>
        <v>#REF!</v>
      </c>
      <c r="Q83" s="148"/>
      <c r="R83" s="148" t="e">
        <f t="shared" ref="R83:R138" si="60">ROUND(IF(N83&lt;=15,N83,15),0)</f>
        <v>#REF!</v>
      </c>
      <c r="S83" s="148" t="e">
        <f t="shared" si="59"/>
        <v>#REF!</v>
      </c>
      <c r="T83" s="148" t="e">
        <f t="shared" si="59"/>
        <v>#REF!</v>
      </c>
      <c r="U83" s="148"/>
      <c r="V83" s="148"/>
      <c r="W83" s="148"/>
      <c r="X83" s="148"/>
      <c r="Y83" s="148"/>
      <c r="Z83" s="150">
        <f t="shared" si="55"/>
        <v>3</v>
      </c>
      <c r="AA83" s="154">
        <v>3</v>
      </c>
      <c r="AB83" s="162">
        <f t="shared" ref="AB83:AB138" si="61">AA83*2</f>
        <v>6</v>
      </c>
      <c r="AC83" s="149">
        <f t="shared" ref="AC83:AC138" si="62">AA83*1</f>
        <v>3</v>
      </c>
      <c r="AD83" s="149">
        <f t="shared" si="17"/>
        <v>1</v>
      </c>
      <c r="AE83" s="319">
        <v>1</v>
      </c>
      <c r="AF83" s="286"/>
      <c r="AG83" s="284"/>
      <c r="AH83" s="148"/>
      <c r="AI83" s="148"/>
      <c r="AJ83" s="148"/>
      <c r="AK83" s="148"/>
      <c r="AL83" s="148"/>
      <c r="AM83" s="148"/>
      <c r="AN83" s="148"/>
      <c r="AO83" s="148"/>
      <c r="AP83" s="150"/>
      <c r="AQ83" s="154"/>
    </row>
    <row r="84" spans="1:43" ht="17.25" thickTop="1" thickBot="1" x14ac:dyDescent="0.3">
      <c r="A84" s="138" t="s">
        <v>193</v>
      </c>
      <c r="B84" s="153" t="s">
        <v>200</v>
      </c>
      <c r="C84" s="735">
        <v>6303</v>
      </c>
      <c r="D84" s="141">
        <v>0.31060187741579237</v>
      </c>
      <c r="E84" s="141">
        <v>0.12313638873550524</v>
      </c>
      <c r="F84" s="141">
        <v>0.56626173384870238</v>
      </c>
      <c r="G84" s="142">
        <f t="shared" si="56"/>
        <v>1957.7236333517394</v>
      </c>
      <c r="H84" s="142">
        <f t="shared" si="57"/>
        <v>776.12865819988951</v>
      </c>
      <c r="I84" s="142">
        <f t="shared" si="58"/>
        <v>3569.1477084483708</v>
      </c>
      <c r="J84" s="143">
        <f t="shared" si="52"/>
        <v>816.37075510767545</v>
      </c>
      <c r="K84" s="143">
        <f t="shared" si="53"/>
        <v>323.64565046935394</v>
      </c>
      <c r="L84" s="143">
        <f t="shared" si="54"/>
        <v>1488.3345944229707</v>
      </c>
      <c r="M84" s="145">
        <f t="shared" si="29"/>
        <v>2628.3510000000001</v>
      </c>
      <c r="N84" s="149" t="e">
        <f>#REF!/100</f>
        <v>#REF!</v>
      </c>
      <c r="O84" s="149" t="e">
        <f>#REF!/100</f>
        <v>#REF!</v>
      </c>
      <c r="P84" s="149" t="e">
        <f>#REF!/50</f>
        <v>#REF!</v>
      </c>
      <c r="Q84" s="148"/>
      <c r="R84" s="148" t="e">
        <f t="shared" si="60"/>
        <v>#REF!</v>
      </c>
      <c r="S84" s="148" t="e">
        <f t="shared" si="59"/>
        <v>#REF!</v>
      </c>
      <c r="T84" s="148" t="e">
        <f t="shared" si="59"/>
        <v>#REF!</v>
      </c>
      <c r="U84" s="148"/>
      <c r="V84" s="148"/>
      <c r="W84" s="148"/>
      <c r="X84" s="148"/>
      <c r="Y84" s="148"/>
      <c r="Z84" s="150">
        <f t="shared" si="55"/>
        <v>2</v>
      </c>
      <c r="AA84" s="154">
        <v>2</v>
      </c>
      <c r="AB84" s="162">
        <f t="shared" si="61"/>
        <v>4</v>
      </c>
      <c r="AC84" s="149">
        <f t="shared" si="62"/>
        <v>2</v>
      </c>
      <c r="AD84" s="149">
        <f t="shared" si="17"/>
        <v>0.66666666666666663</v>
      </c>
      <c r="AE84" s="319">
        <v>1</v>
      </c>
      <c r="AF84" s="286"/>
      <c r="AG84" s="284"/>
      <c r="AH84" s="148"/>
      <c r="AI84" s="148"/>
      <c r="AJ84" s="148"/>
      <c r="AK84" s="148"/>
      <c r="AL84" s="148"/>
      <c r="AM84" s="148"/>
      <c r="AN84" s="148"/>
      <c r="AO84" s="148"/>
      <c r="AP84" s="150"/>
      <c r="AQ84" s="154"/>
    </row>
    <row r="85" spans="1:43" ht="17.25" thickTop="1" thickBot="1" x14ac:dyDescent="0.3">
      <c r="A85" s="138" t="s">
        <v>193</v>
      </c>
      <c r="B85" s="153" t="s">
        <v>201</v>
      </c>
      <c r="C85" s="140">
        <v>3151</v>
      </c>
      <c r="D85" s="141">
        <v>0.18399372302863867</v>
      </c>
      <c r="E85" s="141">
        <v>0.26480972930561003</v>
      </c>
      <c r="F85" s="141">
        <v>0.55119654766575132</v>
      </c>
      <c r="G85" s="142">
        <f t="shared" si="56"/>
        <v>579.76422126324042</v>
      </c>
      <c r="H85" s="142">
        <f t="shared" si="57"/>
        <v>834.41545704197722</v>
      </c>
      <c r="I85" s="142">
        <f t="shared" si="58"/>
        <v>1736.8203216947825</v>
      </c>
      <c r="J85" s="143">
        <f t="shared" si="52"/>
        <v>241.76168026677126</v>
      </c>
      <c r="K85" s="143">
        <f t="shared" si="53"/>
        <v>347.95124558650451</v>
      </c>
      <c r="L85" s="143">
        <f t="shared" si="54"/>
        <v>724.25407414672441</v>
      </c>
      <c r="M85" s="145">
        <f t="shared" si="29"/>
        <v>1313.9670000000001</v>
      </c>
      <c r="N85" s="149" t="e">
        <f>#REF!/100</f>
        <v>#REF!</v>
      </c>
      <c r="O85" s="149" t="e">
        <f>#REF!/100</f>
        <v>#REF!</v>
      </c>
      <c r="P85" s="149" t="e">
        <f>#REF!/50</f>
        <v>#REF!</v>
      </c>
      <c r="Q85" s="148"/>
      <c r="R85" s="148" t="e">
        <f t="shared" si="60"/>
        <v>#REF!</v>
      </c>
      <c r="S85" s="148" t="e">
        <f t="shared" si="59"/>
        <v>#REF!</v>
      </c>
      <c r="T85" s="148" t="e">
        <f t="shared" si="59"/>
        <v>#REF!</v>
      </c>
      <c r="U85" s="148"/>
      <c r="V85" s="148"/>
      <c r="W85" s="148"/>
      <c r="X85" s="148"/>
      <c r="Y85" s="148"/>
      <c r="Z85" s="150">
        <f t="shared" si="55"/>
        <v>1</v>
      </c>
      <c r="AA85" s="154">
        <v>1</v>
      </c>
      <c r="AB85" s="162">
        <f t="shared" si="61"/>
        <v>2</v>
      </c>
      <c r="AC85" s="149">
        <f t="shared" si="62"/>
        <v>1</v>
      </c>
      <c r="AD85" s="149">
        <f t="shared" si="17"/>
        <v>0.33333333333333331</v>
      </c>
      <c r="AE85" s="319">
        <v>1</v>
      </c>
      <c r="AF85" s="286"/>
      <c r="AG85" s="284"/>
      <c r="AH85" s="148"/>
      <c r="AI85" s="148"/>
      <c r="AJ85" s="148"/>
      <c r="AK85" s="148"/>
      <c r="AL85" s="148"/>
      <c r="AM85" s="148"/>
      <c r="AN85" s="148"/>
      <c r="AO85" s="148"/>
      <c r="AP85" s="150"/>
      <c r="AQ85" s="154"/>
    </row>
    <row r="86" spans="1:43" ht="17.25" thickTop="1" thickBot="1" x14ac:dyDescent="0.3">
      <c r="A86" s="138" t="s">
        <v>193</v>
      </c>
      <c r="B86" s="153" t="s">
        <v>202</v>
      </c>
      <c r="C86" s="140">
        <v>15757</v>
      </c>
      <c r="D86" s="141">
        <v>0.38046179019453369</v>
      </c>
      <c r="E86" s="141">
        <v>0.55293618568571601</v>
      </c>
      <c r="F86" s="141">
        <v>6.6602024119750317E-2</v>
      </c>
      <c r="G86" s="142">
        <f t="shared" si="56"/>
        <v>5994.9364280952677</v>
      </c>
      <c r="H86" s="142">
        <f t="shared" si="57"/>
        <v>8712.6154778498276</v>
      </c>
      <c r="I86" s="142">
        <f t="shared" si="58"/>
        <v>1049.4480940549058</v>
      </c>
      <c r="J86" s="143">
        <f t="shared" si="52"/>
        <v>2499.888490515727</v>
      </c>
      <c r="K86" s="143">
        <f t="shared" si="53"/>
        <v>3633.1606542633785</v>
      </c>
      <c r="L86" s="143">
        <f t="shared" si="54"/>
        <v>437.61985522089577</v>
      </c>
      <c r="M86" s="145">
        <f t="shared" si="29"/>
        <v>6570.6690000000017</v>
      </c>
      <c r="N86" s="149" t="e">
        <f>#REF!/100</f>
        <v>#REF!</v>
      </c>
      <c r="O86" s="149" t="e">
        <f>#REF!/100</f>
        <v>#REF!</v>
      </c>
      <c r="P86" s="149" t="e">
        <f>#REF!/50</f>
        <v>#REF!</v>
      </c>
      <c r="Q86" s="148"/>
      <c r="R86" s="148" t="e">
        <f t="shared" si="60"/>
        <v>#REF!</v>
      </c>
      <c r="S86" s="148" t="e">
        <f t="shared" si="59"/>
        <v>#REF!</v>
      </c>
      <c r="T86" s="148" t="e">
        <f t="shared" si="59"/>
        <v>#REF!</v>
      </c>
      <c r="U86" s="148"/>
      <c r="V86" s="148"/>
      <c r="W86" s="148"/>
      <c r="X86" s="148"/>
      <c r="Y86" s="148"/>
      <c r="Z86" s="150">
        <f t="shared" si="55"/>
        <v>5</v>
      </c>
      <c r="AA86" s="154">
        <v>4</v>
      </c>
      <c r="AB86" s="162">
        <f t="shared" si="61"/>
        <v>8</v>
      </c>
      <c r="AC86" s="149">
        <f t="shared" si="62"/>
        <v>4</v>
      </c>
      <c r="AD86" s="149">
        <f t="shared" si="17"/>
        <v>1.3333333333333333</v>
      </c>
      <c r="AE86" s="319">
        <v>1</v>
      </c>
      <c r="AF86" s="286"/>
      <c r="AG86" s="284"/>
      <c r="AH86" s="148"/>
      <c r="AI86" s="148"/>
      <c r="AJ86" s="148"/>
      <c r="AK86" s="148"/>
      <c r="AL86" s="148"/>
      <c r="AM86" s="148"/>
      <c r="AN86" s="148"/>
      <c r="AO86" s="148"/>
      <c r="AP86" s="150"/>
      <c r="AQ86" s="154"/>
    </row>
    <row r="87" spans="1:43" ht="17.25" thickTop="1" thickBot="1" x14ac:dyDescent="0.3">
      <c r="A87" s="138" t="s">
        <v>193</v>
      </c>
      <c r="B87" s="153" t="s">
        <v>203</v>
      </c>
      <c r="C87" s="735">
        <v>9454</v>
      </c>
      <c r="D87" s="141">
        <v>0.56497961618772996</v>
      </c>
      <c r="E87" s="141">
        <v>0.18802823903748633</v>
      </c>
      <c r="F87" s="141">
        <v>0.24699214477478373</v>
      </c>
      <c r="G87" s="142">
        <f t="shared" si="56"/>
        <v>5341.3172914387987</v>
      </c>
      <c r="H87" s="142">
        <f t="shared" si="57"/>
        <v>1777.6189718603957</v>
      </c>
      <c r="I87" s="142">
        <f t="shared" si="58"/>
        <v>2335.0637367008053</v>
      </c>
      <c r="J87" s="143">
        <f t="shared" si="52"/>
        <v>2227.3293105299795</v>
      </c>
      <c r="K87" s="143">
        <f t="shared" si="53"/>
        <v>741.26711126578505</v>
      </c>
      <c r="L87" s="143">
        <f t="shared" si="54"/>
        <v>973.72157820423593</v>
      </c>
      <c r="M87" s="145">
        <f t="shared" si="29"/>
        <v>3942.3180000000002</v>
      </c>
      <c r="N87" s="149" t="e">
        <f>#REF!/100</f>
        <v>#REF!</v>
      </c>
      <c r="O87" s="149" t="e">
        <f>#REF!/100</f>
        <v>#REF!</v>
      </c>
      <c r="P87" s="149" t="e">
        <f>#REF!/50</f>
        <v>#REF!</v>
      </c>
      <c r="Q87" s="148"/>
      <c r="R87" s="148" t="e">
        <f t="shared" si="60"/>
        <v>#REF!</v>
      </c>
      <c r="S87" s="148" t="e">
        <f t="shared" si="59"/>
        <v>#REF!</v>
      </c>
      <c r="T87" s="148" t="e">
        <f t="shared" si="59"/>
        <v>#REF!</v>
      </c>
      <c r="U87" s="148"/>
      <c r="V87" s="148"/>
      <c r="W87" s="148"/>
      <c r="X87" s="148"/>
      <c r="Y87" s="148"/>
      <c r="Z87" s="150">
        <f t="shared" si="55"/>
        <v>3</v>
      </c>
      <c r="AA87" s="154">
        <v>2</v>
      </c>
      <c r="AB87" s="162">
        <f t="shared" si="61"/>
        <v>4</v>
      </c>
      <c r="AC87" s="149">
        <f t="shared" si="62"/>
        <v>2</v>
      </c>
      <c r="AD87" s="149">
        <f t="shared" si="17"/>
        <v>0.66666666666666663</v>
      </c>
      <c r="AE87" s="319">
        <v>1</v>
      </c>
      <c r="AF87" s="286"/>
      <c r="AG87" s="284"/>
      <c r="AH87" s="148"/>
      <c r="AI87" s="148"/>
      <c r="AJ87" s="148"/>
      <c r="AK87" s="148"/>
      <c r="AL87" s="148"/>
      <c r="AM87" s="148"/>
      <c r="AN87" s="148"/>
      <c r="AO87" s="148"/>
      <c r="AP87" s="150"/>
      <c r="AQ87" s="154"/>
    </row>
    <row r="88" spans="1:43" ht="17.25" thickTop="1" thickBot="1" x14ac:dyDescent="0.3">
      <c r="A88" s="138" t="s">
        <v>193</v>
      </c>
      <c r="B88" s="153" t="s">
        <v>193</v>
      </c>
      <c r="C88" s="140">
        <v>69334</v>
      </c>
      <c r="D88" s="141">
        <v>1</v>
      </c>
      <c r="E88" s="141">
        <v>0</v>
      </c>
      <c r="F88" s="141">
        <v>0</v>
      </c>
      <c r="G88" s="142">
        <f t="shared" si="56"/>
        <v>69334</v>
      </c>
      <c r="H88" s="142">
        <f t="shared" si="57"/>
        <v>0</v>
      </c>
      <c r="I88" s="142">
        <f t="shared" si="58"/>
        <v>0</v>
      </c>
      <c r="J88" s="143">
        <f t="shared" si="52"/>
        <v>28912.278000000002</v>
      </c>
      <c r="K88" s="143">
        <f t="shared" si="53"/>
        <v>0</v>
      </c>
      <c r="L88" s="143">
        <f t="shared" si="54"/>
        <v>0</v>
      </c>
      <c r="M88" s="145">
        <f t="shared" si="29"/>
        <v>28912.278000000002</v>
      </c>
      <c r="N88" s="149" t="e">
        <f>#REF!/100</f>
        <v>#REF!</v>
      </c>
      <c r="O88" s="149" t="e">
        <f>#REF!/100</f>
        <v>#REF!</v>
      </c>
      <c r="P88" s="149" t="e">
        <f>#REF!/50</f>
        <v>#REF!</v>
      </c>
      <c r="Q88" s="148"/>
      <c r="R88" s="148" t="e">
        <f t="shared" si="60"/>
        <v>#REF!</v>
      </c>
      <c r="S88" s="148" t="e">
        <f t="shared" si="59"/>
        <v>#REF!</v>
      </c>
      <c r="T88" s="148" t="e">
        <f t="shared" si="59"/>
        <v>#REF!</v>
      </c>
      <c r="U88" s="148"/>
      <c r="V88" s="148"/>
      <c r="W88" s="148"/>
      <c r="X88" s="148"/>
      <c r="Y88" s="148"/>
      <c r="Z88" s="150">
        <f t="shared" si="55"/>
        <v>24</v>
      </c>
      <c r="AA88" s="154">
        <v>18</v>
      </c>
      <c r="AB88" s="162">
        <f t="shared" si="61"/>
        <v>36</v>
      </c>
      <c r="AC88" s="149">
        <f t="shared" si="62"/>
        <v>18</v>
      </c>
      <c r="AD88" s="149">
        <f t="shared" si="17"/>
        <v>6</v>
      </c>
      <c r="AE88" s="319">
        <v>5</v>
      </c>
      <c r="AF88" s="286">
        <v>6</v>
      </c>
      <c r="AG88" s="284"/>
      <c r="AH88" s="148"/>
      <c r="AI88" s="148"/>
      <c r="AJ88" s="148"/>
      <c r="AK88" s="148"/>
      <c r="AL88" s="148"/>
      <c r="AM88" s="148"/>
      <c r="AN88" s="148"/>
      <c r="AO88" s="148"/>
      <c r="AP88" s="150"/>
      <c r="AQ88" s="154"/>
    </row>
    <row r="89" spans="1:43" ht="17.25" thickTop="1" thickBot="1" x14ac:dyDescent="0.3">
      <c r="A89" s="138" t="s">
        <v>193</v>
      </c>
      <c r="B89" s="153" t="s">
        <v>204</v>
      </c>
      <c r="C89" s="140">
        <v>3151</v>
      </c>
      <c r="D89" s="141">
        <v>4.3206471777900352E-2</v>
      </c>
      <c r="E89" s="141">
        <v>0.18496047067475638</v>
      </c>
      <c r="F89" s="141">
        <v>0.77183305754734322</v>
      </c>
      <c r="G89" s="142">
        <f t="shared" si="56"/>
        <v>136.14359257216401</v>
      </c>
      <c r="H89" s="142">
        <f t="shared" si="57"/>
        <v>582.81044309615731</v>
      </c>
      <c r="I89" s="142">
        <f t="shared" si="58"/>
        <v>2432.0459643316785</v>
      </c>
      <c r="J89" s="143">
        <f t="shared" si="52"/>
        <v>56.771878102592396</v>
      </c>
      <c r="K89" s="143">
        <f t="shared" si="53"/>
        <v>243.03195477109762</v>
      </c>
      <c r="L89" s="143">
        <f t="shared" si="54"/>
        <v>1014.16316712631</v>
      </c>
      <c r="M89" s="145">
        <f t="shared" si="29"/>
        <v>1313.9670000000001</v>
      </c>
      <c r="N89" s="149" t="e">
        <f>#REF!/100</f>
        <v>#REF!</v>
      </c>
      <c r="O89" s="149" t="e">
        <f>#REF!/100</f>
        <v>#REF!</v>
      </c>
      <c r="P89" s="149" t="e">
        <f>#REF!/50</f>
        <v>#REF!</v>
      </c>
      <c r="Q89" s="148"/>
      <c r="R89" s="148" t="e">
        <f t="shared" si="60"/>
        <v>#REF!</v>
      </c>
      <c r="S89" s="148" t="e">
        <f t="shared" si="59"/>
        <v>#REF!</v>
      </c>
      <c r="T89" s="148" t="e">
        <f t="shared" si="59"/>
        <v>#REF!</v>
      </c>
      <c r="U89" s="148"/>
      <c r="V89" s="148"/>
      <c r="W89" s="148"/>
      <c r="X89" s="148"/>
      <c r="Y89" s="148"/>
      <c r="Z89" s="150">
        <f t="shared" si="55"/>
        <v>1</v>
      </c>
      <c r="AA89" s="154">
        <v>1</v>
      </c>
      <c r="AB89" s="162">
        <f t="shared" si="61"/>
        <v>2</v>
      </c>
      <c r="AC89" s="149">
        <f t="shared" si="62"/>
        <v>1</v>
      </c>
      <c r="AD89" s="149">
        <f t="shared" si="17"/>
        <v>0.33333333333333331</v>
      </c>
      <c r="AE89" s="319">
        <v>1</v>
      </c>
      <c r="AF89" s="286"/>
      <c r="AG89" s="284"/>
      <c r="AH89" s="148"/>
      <c r="AI89" s="148"/>
      <c r="AJ89" s="148"/>
      <c r="AK89" s="148"/>
      <c r="AL89" s="148"/>
      <c r="AM89" s="148"/>
      <c r="AN89" s="148"/>
      <c r="AO89" s="148"/>
      <c r="AP89" s="150"/>
      <c r="AQ89" s="154"/>
    </row>
    <row r="90" spans="1:43" ht="17.25" thickTop="1" thickBot="1" x14ac:dyDescent="0.3">
      <c r="A90" s="138" t="s">
        <v>193</v>
      </c>
      <c r="B90" s="153" t="s">
        <v>205</v>
      </c>
      <c r="C90" s="140">
        <v>18909</v>
      </c>
      <c r="D90" s="141">
        <v>0.44185905224787364</v>
      </c>
      <c r="E90" s="141">
        <v>0.30157958687727826</v>
      </c>
      <c r="F90" s="141">
        <v>0.2565613608748481</v>
      </c>
      <c r="G90" s="142">
        <f t="shared" si="56"/>
        <v>8355.1128189550418</v>
      </c>
      <c r="H90" s="142">
        <f t="shared" si="57"/>
        <v>5702.5684082624548</v>
      </c>
      <c r="I90" s="142">
        <f t="shared" si="58"/>
        <v>4851.3187727825025</v>
      </c>
      <c r="J90" s="143">
        <f t="shared" si="52"/>
        <v>3484.0820455042526</v>
      </c>
      <c r="K90" s="143">
        <f t="shared" si="53"/>
        <v>2377.9710262454437</v>
      </c>
      <c r="L90" s="143">
        <f t="shared" si="54"/>
        <v>2022.9999282503038</v>
      </c>
      <c r="M90" s="145">
        <f t="shared" si="29"/>
        <v>7885.0530000000008</v>
      </c>
      <c r="N90" s="149" t="e">
        <f>#REF!/100</f>
        <v>#REF!</v>
      </c>
      <c r="O90" s="149" t="e">
        <f>#REF!/100</f>
        <v>#REF!</v>
      </c>
      <c r="P90" s="149" t="e">
        <f>#REF!/50</f>
        <v>#REF!</v>
      </c>
      <c r="Q90" s="148"/>
      <c r="R90" s="148" t="e">
        <f t="shared" si="60"/>
        <v>#REF!</v>
      </c>
      <c r="S90" s="148" t="e">
        <f t="shared" si="59"/>
        <v>#REF!</v>
      </c>
      <c r="T90" s="148" t="e">
        <f t="shared" si="59"/>
        <v>#REF!</v>
      </c>
      <c r="U90" s="148"/>
      <c r="V90" s="148"/>
      <c r="W90" s="148"/>
      <c r="X90" s="148"/>
      <c r="Y90" s="148"/>
      <c r="Z90" s="150">
        <f t="shared" si="55"/>
        <v>7</v>
      </c>
      <c r="AA90" s="154">
        <v>5</v>
      </c>
      <c r="AB90" s="162">
        <f t="shared" si="61"/>
        <v>10</v>
      </c>
      <c r="AC90" s="149">
        <f t="shared" si="62"/>
        <v>5</v>
      </c>
      <c r="AD90" s="149">
        <f t="shared" si="17"/>
        <v>1.6666666666666667</v>
      </c>
      <c r="AE90" s="319">
        <v>2</v>
      </c>
      <c r="AF90" s="286"/>
      <c r="AG90" s="284"/>
      <c r="AH90" s="148"/>
      <c r="AI90" s="148"/>
      <c r="AJ90" s="148"/>
      <c r="AK90" s="148"/>
      <c r="AL90" s="148"/>
      <c r="AM90" s="148"/>
      <c r="AN90" s="148"/>
      <c r="AO90" s="148"/>
      <c r="AP90" s="150"/>
      <c r="AQ90" s="154"/>
    </row>
    <row r="91" spans="1:43" ht="17.25" thickTop="1" thickBot="1" x14ac:dyDescent="0.3">
      <c r="A91" s="138" t="s">
        <v>193</v>
      </c>
      <c r="B91" s="153" t="s">
        <v>206</v>
      </c>
      <c r="C91" s="140">
        <v>15757</v>
      </c>
      <c r="D91" s="141">
        <v>0.45848640705363702</v>
      </c>
      <c r="E91" s="141">
        <v>0.52234319684723796</v>
      </c>
      <c r="F91" s="141">
        <v>1.9170396099124975E-2</v>
      </c>
      <c r="G91" s="142">
        <f t="shared" si="56"/>
        <v>7224.3703159441584</v>
      </c>
      <c r="H91" s="142">
        <f t="shared" si="57"/>
        <v>8230.5617527219292</v>
      </c>
      <c r="I91" s="142">
        <f t="shared" si="58"/>
        <v>302.06793133391221</v>
      </c>
      <c r="J91" s="143">
        <f t="shared" si="52"/>
        <v>3012.5624217487143</v>
      </c>
      <c r="K91" s="143">
        <f t="shared" si="53"/>
        <v>3432.1442508850446</v>
      </c>
      <c r="L91" s="143">
        <f t="shared" si="54"/>
        <v>125.96232736624141</v>
      </c>
      <c r="M91" s="145">
        <f t="shared" si="29"/>
        <v>6570.6689999999999</v>
      </c>
      <c r="N91" s="149" t="e">
        <f>#REF!/100</f>
        <v>#REF!</v>
      </c>
      <c r="O91" s="149" t="e">
        <f>#REF!/100</f>
        <v>#REF!</v>
      </c>
      <c r="P91" s="149" t="e">
        <f>#REF!/50</f>
        <v>#REF!</v>
      </c>
      <c r="Q91" s="148"/>
      <c r="R91" s="148" t="e">
        <f t="shared" si="60"/>
        <v>#REF!</v>
      </c>
      <c r="S91" s="148" t="e">
        <f t="shared" si="59"/>
        <v>#REF!</v>
      </c>
      <c r="T91" s="148" t="e">
        <f t="shared" si="59"/>
        <v>#REF!</v>
      </c>
      <c r="U91" s="148"/>
      <c r="V91" s="148"/>
      <c r="W91" s="148"/>
      <c r="X91" s="148"/>
      <c r="Y91" s="148"/>
      <c r="Z91" s="150">
        <f t="shared" si="55"/>
        <v>5</v>
      </c>
      <c r="AA91" s="154">
        <v>4</v>
      </c>
      <c r="AB91" s="162">
        <f t="shared" si="61"/>
        <v>8</v>
      </c>
      <c r="AC91" s="149">
        <f t="shared" si="62"/>
        <v>4</v>
      </c>
      <c r="AD91" s="149">
        <f t="shared" ref="AD91:AD138" si="63">AA91/3</f>
        <v>1.3333333333333333</v>
      </c>
      <c r="AE91" s="319">
        <v>1</v>
      </c>
      <c r="AF91" s="286"/>
      <c r="AG91" s="284"/>
      <c r="AH91" s="148"/>
      <c r="AI91" s="148"/>
      <c r="AJ91" s="148"/>
      <c r="AK91" s="148"/>
      <c r="AL91" s="148"/>
      <c r="AM91" s="148"/>
      <c r="AN91" s="148"/>
      <c r="AO91" s="148"/>
      <c r="AP91" s="150"/>
      <c r="AQ91" s="154"/>
    </row>
    <row r="92" spans="1:43" ht="17.25" thickTop="1" thickBot="1" x14ac:dyDescent="0.3">
      <c r="A92" s="138" t="s">
        <v>193</v>
      </c>
      <c r="B92" s="153" t="s">
        <v>207</v>
      </c>
      <c r="C92" s="140">
        <v>18909</v>
      </c>
      <c r="D92" s="141">
        <v>0.32252079717517507</v>
      </c>
      <c r="E92" s="141">
        <v>0.44215692141959423</v>
      </c>
      <c r="F92" s="141">
        <v>0.2353222814052307</v>
      </c>
      <c r="G92" s="142">
        <f t="shared" si="56"/>
        <v>6098.5457537853854</v>
      </c>
      <c r="H92" s="142">
        <f t="shared" si="57"/>
        <v>8360.7452271231068</v>
      </c>
      <c r="I92" s="142">
        <f t="shared" si="58"/>
        <v>4449.7090190915078</v>
      </c>
      <c r="J92" s="143">
        <f t="shared" si="52"/>
        <v>2543.0935793285057</v>
      </c>
      <c r="K92" s="143">
        <f t="shared" si="53"/>
        <v>3486.4307597103357</v>
      </c>
      <c r="L92" s="143">
        <f t="shared" si="54"/>
        <v>1855.5286609611589</v>
      </c>
      <c r="M92" s="145">
        <f t="shared" si="29"/>
        <v>7885.0529999999999</v>
      </c>
      <c r="N92" s="149" t="e">
        <f>#REF!/100</f>
        <v>#REF!</v>
      </c>
      <c r="O92" s="149" t="e">
        <f>#REF!/100</f>
        <v>#REF!</v>
      </c>
      <c r="P92" s="149" t="e">
        <f>#REF!/50</f>
        <v>#REF!</v>
      </c>
      <c r="Q92" s="148"/>
      <c r="R92" s="148" t="e">
        <f t="shared" si="60"/>
        <v>#REF!</v>
      </c>
      <c r="S92" s="148" t="e">
        <f t="shared" si="59"/>
        <v>#REF!</v>
      </c>
      <c r="T92" s="148" t="e">
        <f t="shared" si="59"/>
        <v>#REF!</v>
      </c>
      <c r="U92" s="148"/>
      <c r="V92" s="148"/>
      <c r="W92" s="148"/>
      <c r="X92" s="148"/>
      <c r="Y92" s="148"/>
      <c r="Z92" s="150">
        <f t="shared" si="55"/>
        <v>7</v>
      </c>
      <c r="AA92" s="154">
        <v>5</v>
      </c>
      <c r="AB92" s="162">
        <f t="shared" si="61"/>
        <v>10</v>
      </c>
      <c r="AC92" s="149">
        <f t="shared" si="62"/>
        <v>5</v>
      </c>
      <c r="AD92" s="149">
        <f t="shared" si="63"/>
        <v>1.6666666666666667</v>
      </c>
      <c r="AE92" s="319">
        <v>1</v>
      </c>
      <c r="AF92" s="286"/>
      <c r="AG92" s="284"/>
      <c r="AH92" s="148"/>
      <c r="AI92" s="148"/>
      <c r="AJ92" s="148"/>
      <c r="AK92" s="148"/>
      <c r="AL92" s="148"/>
      <c r="AM92" s="148"/>
      <c r="AN92" s="148"/>
      <c r="AO92" s="148"/>
      <c r="AP92" s="150"/>
      <c r="AQ92" s="154"/>
    </row>
    <row r="93" spans="1:43" ht="17.25" thickTop="1" thickBot="1" x14ac:dyDescent="0.3">
      <c r="A93" s="138" t="s">
        <v>193</v>
      </c>
      <c r="B93" s="153" t="s">
        <v>208</v>
      </c>
      <c r="C93" s="140">
        <v>12606</v>
      </c>
      <c r="D93" s="141">
        <v>0.17135657286854264</v>
      </c>
      <c r="E93" s="141">
        <v>0.27922441551168975</v>
      </c>
      <c r="F93" s="141">
        <v>0.54941901161976758</v>
      </c>
      <c r="G93" s="142">
        <f t="shared" si="56"/>
        <v>2160.1209575808484</v>
      </c>
      <c r="H93" s="142">
        <f t="shared" si="57"/>
        <v>3519.9029819403609</v>
      </c>
      <c r="I93" s="142">
        <f t="shared" si="58"/>
        <v>6925.9760604787898</v>
      </c>
      <c r="J93" s="143">
        <f t="shared" si="52"/>
        <v>900.77043931121386</v>
      </c>
      <c r="K93" s="143">
        <f t="shared" si="53"/>
        <v>1467.7995434691306</v>
      </c>
      <c r="L93" s="143">
        <f t="shared" si="54"/>
        <v>2888.1320172196556</v>
      </c>
      <c r="M93" s="145">
        <f t="shared" si="29"/>
        <v>5256.7020000000002</v>
      </c>
      <c r="N93" s="149" t="e">
        <f>#REF!/100</f>
        <v>#REF!</v>
      </c>
      <c r="O93" s="149" t="e">
        <f>#REF!/100</f>
        <v>#REF!</v>
      </c>
      <c r="P93" s="149" t="e">
        <f>#REF!/50</f>
        <v>#REF!</v>
      </c>
      <c r="Q93" s="148"/>
      <c r="R93" s="148" t="e">
        <f t="shared" si="60"/>
        <v>#REF!</v>
      </c>
      <c r="S93" s="148" t="e">
        <f t="shared" si="59"/>
        <v>#REF!</v>
      </c>
      <c r="T93" s="148" t="e">
        <f t="shared" si="59"/>
        <v>#REF!</v>
      </c>
      <c r="U93" s="148"/>
      <c r="V93" s="148"/>
      <c r="W93" s="148"/>
      <c r="X93" s="148"/>
      <c r="Y93" s="148"/>
      <c r="Z93" s="150">
        <f t="shared" si="55"/>
        <v>4</v>
      </c>
      <c r="AA93" s="154">
        <v>4</v>
      </c>
      <c r="AB93" s="162">
        <f t="shared" si="61"/>
        <v>8</v>
      </c>
      <c r="AC93" s="149">
        <f t="shared" si="62"/>
        <v>4</v>
      </c>
      <c r="AD93" s="149">
        <f t="shared" si="63"/>
        <v>1.3333333333333333</v>
      </c>
      <c r="AE93" s="319">
        <v>1</v>
      </c>
      <c r="AF93" s="286"/>
      <c r="AG93" s="284"/>
      <c r="AH93" s="148"/>
      <c r="AI93" s="148"/>
      <c r="AJ93" s="148"/>
      <c r="AK93" s="148"/>
      <c r="AL93" s="148"/>
      <c r="AM93" s="148"/>
      <c r="AN93" s="148"/>
      <c r="AO93" s="148"/>
      <c r="AP93" s="150"/>
      <c r="AQ93" s="154"/>
    </row>
    <row r="94" spans="1:43" ht="17.25" thickTop="1" thickBot="1" x14ac:dyDescent="0.3">
      <c r="A94" s="138" t="s">
        <v>193</v>
      </c>
      <c r="B94" s="153" t="s">
        <v>209</v>
      </c>
      <c r="C94" s="140">
        <v>31515</v>
      </c>
      <c r="D94" s="141">
        <v>0.28170680185889313</v>
      </c>
      <c r="E94" s="141">
        <v>0.60278833967046896</v>
      </c>
      <c r="F94" s="141">
        <v>0.11550485847063793</v>
      </c>
      <c r="G94" s="142">
        <f t="shared" si="56"/>
        <v>8877.9898605830167</v>
      </c>
      <c r="H94" s="142">
        <f t="shared" si="57"/>
        <v>18996.874524714829</v>
      </c>
      <c r="I94" s="142">
        <f t="shared" si="58"/>
        <v>3640.1356147021543</v>
      </c>
      <c r="J94" s="143">
        <f t="shared" si="52"/>
        <v>3702.1217718631183</v>
      </c>
      <c r="K94" s="143">
        <f t="shared" si="53"/>
        <v>7921.6966768060847</v>
      </c>
      <c r="L94" s="143">
        <f t="shared" si="54"/>
        <v>1517.9365513307985</v>
      </c>
      <c r="M94" s="145">
        <f t="shared" si="29"/>
        <v>13141.755000000001</v>
      </c>
      <c r="N94" s="149" t="e">
        <f>#REF!/100</f>
        <v>#REF!</v>
      </c>
      <c r="O94" s="149" t="e">
        <f>#REF!/100</f>
        <v>#REF!</v>
      </c>
      <c r="P94" s="149" t="e">
        <f>#REF!/50</f>
        <v>#REF!</v>
      </c>
      <c r="Q94" s="148"/>
      <c r="R94" s="148" t="e">
        <f t="shared" si="60"/>
        <v>#REF!</v>
      </c>
      <c r="S94" s="148" t="e">
        <f t="shared" si="59"/>
        <v>#REF!</v>
      </c>
      <c r="T94" s="148" t="e">
        <f t="shared" si="59"/>
        <v>#REF!</v>
      </c>
      <c r="U94" s="148"/>
      <c r="V94" s="148"/>
      <c r="W94" s="148"/>
      <c r="X94" s="148"/>
      <c r="Y94" s="148"/>
      <c r="Z94" s="150">
        <f t="shared" si="55"/>
        <v>11</v>
      </c>
      <c r="AA94" s="154">
        <v>8</v>
      </c>
      <c r="AB94" s="162">
        <f t="shared" si="61"/>
        <v>16</v>
      </c>
      <c r="AC94" s="149">
        <f t="shared" si="62"/>
        <v>8</v>
      </c>
      <c r="AD94" s="149">
        <f t="shared" si="63"/>
        <v>2.6666666666666665</v>
      </c>
      <c r="AE94" s="319">
        <v>3</v>
      </c>
      <c r="AF94" s="286"/>
      <c r="AG94" s="284"/>
      <c r="AH94" s="148"/>
      <c r="AI94" s="148"/>
      <c r="AJ94" s="148"/>
      <c r="AK94" s="148"/>
      <c r="AL94" s="148"/>
      <c r="AM94" s="148"/>
      <c r="AN94" s="148"/>
      <c r="AO94" s="148"/>
      <c r="AP94" s="150"/>
      <c r="AQ94" s="154"/>
    </row>
    <row r="95" spans="1:43" ht="17.25" thickTop="1" thickBot="1" x14ac:dyDescent="0.3">
      <c r="A95" s="138" t="s">
        <v>193</v>
      </c>
      <c r="B95" s="153" t="s">
        <v>210</v>
      </c>
      <c r="C95" s="140">
        <v>18909</v>
      </c>
      <c r="D95" s="141">
        <v>0.30113930605903677</v>
      </c>
      <c r="E95" s="141">
        <v>0.49637493526670118</v>
      </c>
      <c r="F95" s="141">
        <v>0.20248575867426205</v>
      </c>
      <c r="G95" s="142">
        <f t="shared" si="56"/>
        <v>5694.2431382703262</v>
      </c>
      <c r="H95" s="142">
        <f t="shared" si="57"/>
        <v>9385.9536509580521</v>
      </c>
      <c r="I95" s="142">
        <f t="shared" si="58"/>
        <v>3828.8032107716213</v>
      </c>
      <c r="J95" s="143">
        <f t="shared" si="52"/>
        <v>2374.4993886587263</v>
      </c>
      <c r="K95" s="143">
        <f t="shared" si="53"/>
        <v>3913.9426724495079</v>
      </c>
      <c r="L95" s="143">
        <f t="shared" si="54"/>
        <v>1596.6109388917662</v>
      </c>
      <c r="M95" s="145">
        <f t="shared" si="29"/>
        <v>7885.0529999999999</v>
      </c>
      <c r="N95" s="149" t="e">
        <f>#REF!/100</f>
        <v>#REF!</v>
      </c>
      <c r="O95" s="149" t="e">
        <f>#REF!/100</f>
        <v>#REF!</v>
      </c>
      <c r="P95" s="149" t="e">
        <f>#REF!/50</f>
        <v>#REF!</v>
      </c>
      <c r="Q95" s="148"/>
      <c r="R95" s="148" t="e">
        <f t="shared" si="60"/>
        <v>#REF!</v>
      </c>
      <c r="S95" s="148" t="e">
        <f t="shared" si="59"/>
        <v>#REF!</v>
      </c>
      <c r="T95" s="148" t="e">
        <f t="shared" si="59"/>
        <v>#REF!</v>
      </c>
      <c r="U95" s="148"/>
      <c r="V95" s="148"/>
      <c r="W95" s="148"/>
      <c r="X95" s="148"/>
      <c r="Y95" s="148"/>
      <c r="Z95" s="150">
        <f t="shared" si="55"/>
        <v>7</v>
      </c>
      <c r="AA95" s="154">
        <v>6</v>
      </c>
      <c r="AB95" s="162">
        <f t="shared" si="61"/>
        <v>12</v>
      </c>
      <c r="AC95" s="149">
        <f t="shared" si="62"/>
        <v>6</v>
      </c>
      <c r="AD95" s="149">
        <f t="shared" si="63"/>
        <v>2</v>
      </c>
      <c r="AE95" s="319">
        <v>2</v>
      </c>
      <c r="AF95" s="286"/>
      <c r="AG95" s="284"/>
      <c r="AH95" s="148"/>
      <c r="AI95" s="148"/>
      <c r="AJ95" s="148"/>
      <c r="AK95" s="148"/>
      <c r="AL95" s="148"/>
      <c r="AM95" s="148"/>
      <c r="AN95" s="148"/>
      <c r="AO95" s="148"/>
      <c r="AP95" s="150"/>
      <c r="AQ95" s="154"/>
    </row>
    <row r="96" spans="1:43" ht="17.25" thickTop="1" thickBot="1" x14ac:dyDescent="0.3">
      <c r="A96" s="138" t="s">
        <v>193</v>
      </c>
      <c r="B96" s="153" t="s">
        <v>211</v>
      </c>
      <c r="C96" s="140">
        <v>15757</v>
      </c>
      <c r="D96" s="141">
        <v>0.32179866765358994</v>
      </c>
      <c r="E96" s="141">
        <v>0.32401924500370094</v>
      </c>
      <c r="F96" s="141">
        <v>0.35418208734270912</v>
      </c>
      <c r="G96" s="142">
        <f t="shared" si="56"/>
        <v>5070.5816062176164</v>
      </c>
      <c r="H96" s="142">
        <f t="shared" si="57"/>
        <v>5105.5712435233154</v>
      </c>
      <c r="I96" s="142">
        <f t="shared" si="58"/>
        <v>5580.8471502590673</v>
      </c>
      <c r="J96" s="143">
        <f t="shared" si="52"/>
        <v>2114.4325297927462</v>
      </c>
      <c r="K96" s="143">
        <f t="shared" si="53"/>
        <v>2129.0232085492225</v>
      </c>
      <c r="L96" s="143">
        <f t="shared" si="54"/>
        <v>2327.2132616580311</v>
      </c>
      <c r="M96" s="145">
        <f t="shared" si="29"/>
        <v>6570.6689999999999</v>
      </c>
      <c r="N96" s="149" t="e">
        <f>#REF!/100</f>
        <v>#REF!</v>
      </c>
      <c r="O96" s="149" t="e">
        <f>#REF!/100</f>
        <v>#REF!</v>
      </c>
      <c r="P96" s="149" t="e">
        <f>#REF!/50</f>
        <v>#REF!</v>
      </c>
      <c r="Q96" s="148"/>
      <c r="R96" s="148" t="e">
        <f t="shared" si="60"/>
        <v>#REF!</v>
      </c>
      <c r="S96" s="148" t="e">
        <f t="shared" si="59"/>
        <v>#REF!</v>
      </c>
      <c r="T96" s="148" t="e">
        <f t="shared" si="59"/>
        <v>#REF!</v>
      </c>
      <c r="U96" s="148"/>
      <c r="V96" s="148"/>
      <c r="W96" s="148"/>
      <c r="X96" s="148"/>
      <c r="Y96" s="148"/>
      <c r="Z96" s="150">
        <f t="shared" si="55"/>
        <v>5</v>
      </c>
      <c r="AA96" s="154">
        <v>4</v>
      </c>
      <c r="AB96" s="162">
        <f t="shared" si="61"/>
        <v>8</v>
      </c>
      <c r="AC96" s="149">
        <f t="shared" si="62"/>
        <v>4</v>
      </c>
      <c r="AD96" s="149">
        <f t="shared" si="63"/>
        <v>1.3333333333333333</v>
      </c>
      <c r="AE96" s="319">
        <v>1</v>
      </c>
      <c r="AF96" s="286"/>
      <c r="AG96" s="284"/>
      <c r="AH96" s="148"/>
      <c r="AI96" s="148"/>
      <c r="AJ96" s="148"/>
      <c r="AK96" s="148"/>
      <c r="AL96" s="148"/>
      <c r="AM96" s="148"/>
      <c r="AN96" s="148"/>
      <c r="AO96" s="148"/>
      <c r="AP96" s="150"/>
      <c r="AQ96" s="154"/>
    </row>
    <row r="97" spans="1:43" ht="19.5" thickTop="1" thickBot="1" x14ac:dyDescent="0.3">
      <c r="A97" s="138"/>
      <c r="B97" s="153"/>
      <c r="C97" s="308">
        <f>SUM(C78:C96)</f>
        <v>315147</v>
      </c>
      <c r="D97" s="141"/>
      <c r="E97" s="141"/>
      <c r="F97" s="141"/>
      <c r="G97" s="308">
        <f>SUM(G78:G96)</f>
        <v>147016.82588244556</v>
      </c>
      <c r="H97" s="308">
        <f t="shared" ref="H97:AF97" si="64">SUM(H78:H96)</f>
        <v>110155.10709957716</v>
      </c>
      <c r="I97" s="308">
        <f t="shared" si="64"/>
        <v>57975.067017977264</v>
      </c>
      <c r="J97" s="308">
        <f t="shared" si="64"/>
        <v>61306.0163929798</v>
      </c>
      <c r="K97" s="308">
        <f t="shared" si="64"/>
        <v>45934.679660523674</v>
      </c>
      <c r="L97" s="308">
        <f t="shared" si="64"/>
        <v>24175.602946496518</v>
      </c>
      <c r="M97" s="308">
        <f t="shared" si="64"/>
        <v>131416.299</v>
      </c>
      <c r="N97" s="308" t="e">
        <f t="shared" si="64"/>
        <v>#REF!</v>
      </c>
      <c r="O97" s="308" t="e">
        <f t="shared" si="64"/>
        <v>#REF!</v>
      </c>
      <c r="P97" s="308" t="e">
        <f t="shared" si="64"/>
        <v>#REF!</v>
      </c>
      <c r="Q97" s="308">
        <f t="shared" si="64"/>
        <v>0</v>
      </c>
      <c r="R97" s="308" t="e">
        <f t="shared" si="64"/>
        <v>#REF!</v>
      </c>
      <c r="S97" s="308" t="e">
        <f t="shared" si="64"/>
        <v>#REF!</v>
      </c>
      <c r="T97" s="308" t="e">
        <f t="shared" si="64"/>
        <v>#REF!</v>
      </c>
      <c r="U97" s="308">
        <f t="shared" si="64"/>
        <v>0</v>
      </c>
      <c r="V97" s="308">
        <f t="shared" si="64"/>
        <v>0</v>
      </c>
      <c r="W97" s="308">
        <f t="shared" si="64"/>
        <v>0</v>
      </c>
      <c r="X97" s="308">
        <f t="shared" si="64"/>
        <v>0</v>
      </c>
      <c r="Y97" s="308">
        <f t="shared" si="64"/>
        <v>0</v>
      </c>
      <c r="Z97" s="308">
        <f t="shared" si="64"/>
        <v>107</v>
      </c>
      <c r="AA97" s="308">
        <f t="shared" si="64"/>
        <v>87</v>
      </c>
      <c r="AB97" s="308">
        <f>SUM(AB78:AB96)</f>
        <v>174</v>
      </c>
      <c r="AC97" s="308">
        <f t="shared" si="64"/>
        <v>87</v>
      </c>
      <c r="AD97" s="308">
        <f t="shared" si="64"/>
        <v>28.999999999999996</v>
      </c>
      <c r="AE97" s="309">
        <f t="shared" si="64"/>
        <v>28</v>
      </c>
      <c r="AF97" s="310">
        <f t="shared" si="64"/>
        <v>6</v>
      </c>
      <c r="AG97" s="284"/>
      <c r="AH97" s="148"/>
      <c r="AI97" s="148"/>
      <c r="AJ97" s="148"/>
      <c r="AK97" s="148"/>
      <c r="AL97" s="148"/>
      <c r="AM97" s="148"/>
      <c r="AN97" s="148"/>
      <c r="AO97" s="148"/>
      <c r="AP97" s="150"/>
      <c r="AQ97" s="154"/>
    </row>
    <row r="98" spans="1:43" ht="17.25" thickTop="1" thickBot="1" x14ac:dyDescent="0.3">
      <c r="A98" s="138" t="s">
        <v>212</v>
      </c>
      <c r="B98" s="153" t="s">
        <v>213</v>
      </c>
      <c r="C98" s="140">
        <v>15929</v>
      </c>
      <c r="D98" s="141">
        <v>0.23034647550776582</v>
      </c>
      <c r="E98" s="141">
        <v>0.42293906810035842</v>
      </c>
      <c r="F98" s="141">
        <v>0.34671445639187576</v>
      </c>
      <c r="G98" s="142">
        <f t="shared" si="56"/>
        <v>3669.189008363202</v>
      </c>
      <c r="H98" s="142">
        <f t="shared" si="57"/>
        <v>6736.996415770609</v>
      </c>
      <c r="I98" s="142">
        <f t="shared" si="58"/>
        <v>5522.8145758661885</v>
      </c>
      <c r="J98" s="143">
        <f>G98*41.7%</f>
        <v>1530.0518164874554</v>
      </c>
      <c r="K98" s="143">
        <f t="shared" ref="K98:L98" si="65">H98*41.7%</f>
        <v>2809.3275053763441</v>
      </c>
      <c r="L98" s="143">
        <f t="shared" si="65"/>
        <v>2303.0136781362007</v>
      </c>
      <c r="M98" s="145">
        <f t="shared" si="29"/>
        <v>6642.393</v>
      </c>
      <c r="N98" s="149" t="e">
        <f>#REF!/100</f>
        <v>#REF!</v>
      </c>
      <c r="O98" s="149" t="e">
        <f>#REF!/100</f>
        <v>#REF!</v>
      </c>
      <c r="P98" s="149" t="e">
        <f>#REF!/50</f>
        <v>#REF!</v>
      </c>
      <c r="Q98" s="148"/>
      <c r="R98" s="148" t="e">
        <f t="shared" si="60"/>
        <v>#REF!</v>
      </c>
      <c r="S98" s="148" t="e">
        <f t="shared" si="59"/>
        <v>#REF!</v>
      </c>
      <c r="T98" s="148" t="e">
        <f t="shared" si="59"/>
        <v>#REF!</v>
      </c>
      <c r="U98" s="148"/>
      <c r="V98" s="148"/>
      <c r="W98" s="148"/>
      <c r="X98" s="148"/>
      <c r="Y98" s="148"/>
      <c r="Z98" s="150">
        <f>ROUND(M98/120/10,0)</f>
        <v>6</v>
      </c>
      <c r="AA98" s="154">
        <v>5</v>
      </c>
      <c r="AB98" s="163">
        <f t="shared" si="61"/>
        <v>10</v>
      </c>
      <c r="AC98" s="149">
        <f t="shared" si="62"/>
        <v>5</v>
      </c>
      <c r="AD98" s="149">
        <f t="shared" si="63"/>
        <v>1.6666666666666667</v>
      </c>
      <c r="AE98" s="320">
        <v>1</v>
      </c>
      <c r="AF98" s="286"/>
      <c r="AG98" s="284"/>
      <c r="AH98" s="148"/>
      <c r="AI98" s="148"/>
      <c r="AJ98" s="148"/>
      <c r="AK98" s="148"/>
      <c r="AL98" s="148"/>
      <c r="AM98" s="148"/>
      <c r="AN98" s="148"/>
      <c r="AO98" s="148"/>
      <c r="AP98" s="150"/>
      <c r="AQ98" s="154"/>
    </row>
    <row r="99" spans="1:43" ht="17.25" thickTop="1" thickBot="1" x14ac:dyDescent="0.3">
      <c r="A99" s="138" t="s">
        <v>212</v>
      </c>
      <c r="B99" s="153" t="s">
        <v>214</v>
      </c>
      <c r="C99" s="140">
        <v>50441</v>
      </c>
      <c r="D99" s="141">
        <v>0.49117013181018482</v>
      </c>
      <c r="E99" s="141">
        <v>0.28368592198339482</v>
      </c>
      <c r="F99" s="141">
        <v>0.22514394620642036</v>
      </c>
      <c r="G99" s="142">
        <f t="shared" si="56"/>
        <v>24775.112618637533</v>
      </c>
      <c r="H99" s="142">
        <f t="shared" si="57"/>
        <v>14309.401590764419</v>
      </c>
      <c r="I99" s="142">
        <f t="shared" si="58"/>
        <v>11356.48579059805</v>
      </c>
      <c r="J99" s="143">
        <f t="shared" ref="J99:J107" si="66">G99*41.7%</f>
        <v>10331.221961971853</v>
      </c>
      <c r="K99" s="143">
        <f t="shared" ref="K99:K107" si="67">H99*41.7%</f>
        <v>5967.0204633487629</v>
      </c>
      <c r="L99" s="143">
        <f t="shared" ref="L99:L107" si="68">I99*41.7%</f>
        <v>4735.6545746793872</v>
      </c>
      <c r="M99" s="145">
        <f t="shared" si="29"/>
        <v>21033.897000000004</v>
      </c>
      <c r="N99" s="149" t="e">
        <f>#REF!/100</f>
        <v>#REF!</v>
      </c>
      <c r="O99" s="149" t="e">
        <f>#REF!/100</f>
        <v>#REF!</v>
      </c>
      <c r="P99" s="149" t="e">
        <f>#REF!/50</f>
        <v>#REF!</v>
      </c>
      <c r="Q99" s="148"/>
      <c r="R99" s="148" t="e">
        <f t="shared" si="60"/>
        <v>#REF!</v>
      </c>
      <c r="S99" s="148" t="e">
        <f t="shared" ref="S99:T116" si="69">ROUND(IF(R99&lt;=15,R99,15),0)</f>
        <v>#REF!</v>
      </c>
      <c r="T99" s="148" t="e">
        <f t="shared" si="69"/>
        <v>#REF!</v>
      </c>
      <c r="U99" s="148"/>
      <c r="V99" s="148"/>
      <c r="W99" s="148"/>
      <c r="X99" s="148"/>
      <c r="Y99" s="148"/>
      <c r="Z99" s="150">
        <f t="shared" ref="Z99:Z107" si="70">ROUND(M99/120/10,0)</f>
        <v>18</v>
      </c>
      <c r="AA99" s="154">
        <v>15</v>
      </c>
      <c r="AB99" s="163">
        <f t="shared" si="61"/>
        <v>30</v>
      </c>
      <c r="AC99" s="149">
        <f t="shared" si="62"/>
        <v>15</v>
      </c>
      <c r="AD99" s="149">
        <f t="shared" si="63"/>
        <v>5</v>
      </c>
      <c r="AE99" s="320">
        <v>4</v>
      </c>
      <c r="AF99" s="286"/>
      <c r="AG99" s="284"/>
      <c r="AH99" s="148"/>
      <c r="AI99" s="148"/>
      <c r="AJ99" s="148"/>
      <c r="AK99" s="148"/>
      <c r="AL99" s="148"/>
      <c r="AM99" s="148"/>
      <c r="AN99" s="148"/>
      <c r="AO99" s="148"/>
      <c r="AP99" s="150"/>
      <c r="AQ99" s="154"/>
    </row>
    <row r="100" spans="1:43" ht="17.25" thickTop="1" thickBot="1" x14ac:dyDescent="0.3">
      <c r="A100" s="138" t="s">
        <v>212</v>
      </c>
      <c r="B100" s="153" t="s">
        <v>215</v>
      </c>
      <c r="C100" s="140">
        <v>13274</v>
      </c>
      <c r="D100" s="141">
        <v>0.19870901360255985</v>
      </c>
      <c r="E100" s="141">
        <v>0.21446964497906496</v>
      </c>
      <c r="F100" s="141">
        <v>0.58682134141837539</v>
      </c>
      <c r="G100" s="142">
        <f t="shared" si="56"/>
        <v>2637.6634465603793</v>
      </c>
      <c r="H100" s="142">
        <f t="shared" si="57"/>
        <v>2846.8700674521083</v>
      </c>
      <c r="I100" s="142">
        <f t="shared" si="58"/>
        <v>7789.4664859875147</v>
      </c>
      <c r="J100" s="143">
        <f t="shared" si="66"/>
        <v>1099.9056572156783</v>
      </c>
      <c r="K100" s="143">
        <f t="shared" si="67"/>
        <v>1187.1448181275293</v>
      </c>
      <c r="L100" s="143">
        <f t="shared" si="68"/>
        <v>3248.2075246567938</v>
      </c>
      <c r="M100" s="145">
        <f t="shared" si="29"/>
        <v>5535.2580000000016</v>
      </c>
      <c r="N100" s="149" t="e">
        <f>#REF!/100</f>
        <v>#REF!</v>
      </c>
      <c r="O100" s="149" t="e">
        <f>#REF!/100</f>
        <v>#REF!</v>
      </c>
      <c r="P100" s="149" t="e">
        <f>#REF!/50</f>
        <v>#REF!</v>
      </c>
      <c r="Q100" s="148"/>
      <c r="R100" s="148" t="e">
        <f t="shared" si="60"/>
        <v>#REF!</v>
      </c>
      <c r="S100" s="148" t="e">
        <f t="shared" si="69"/>
        <v>#REF!</v>
      </c>
      <c r="T100" s="148" t="e">
        <f t="shared" si="69"/>
        <v>#REF!</v>
      </c>
      <c r="U100" s="148"/>
      <c r="V100" s="148"/>
      <c r="W100" s="148"/>
      <c r="X100" s="148"/>
      <c r="Y100" s="148"/>
      <c r="Z100" s="150">
        <f t="shared" si="70"/>
        <v>5</v>
      </c>
      <c r="AA100" s="154">
        <v>4</v>
      </c>
      <c r="AB100" s="163">
        <f t="shared" si="61"/>
        <v>8</v>
      </c>
      <c r="AC100" s="149">
        <f t="shared" si="62"/>
        <v>4</v>
      </c>
      <c r="AD100" s="149">
        <f t="shared" si="63"/>
        <v>1.3333333333333333</v>
      </c>
      <c r="AE100" s="320">
        <v>1</v>
      </c>
      <c r="AF100" s="286"/>
      <c r="AG100" s="284"/>
      <c r="AH100" s="148"/>
      <c r="AI100" s="148"/>
      <c r="AJ100" s="148"/>
      <c r="AK100" s="148"/>
      <c r="AL100" s="148"/>
      <c r="AM100" s="148"/>
      <c r="AN100" s="148"/>
      <c r="AO100" s="148"/>
      <c r="AP100" s="150"/>
      <c r="AQ100" s="154"/>
    </row>
    <row r="101" spans="1:43" ht="17.25" thickTop="1" thickBot="1" x14ac:dyDescent="0.3">
      <c r="A101" s="138" t="s">
        <v>212</v>
      </c>
      <c r="B101" s="153" t="s">
        <v>134</v>
      </c>
      <c r="C101" s="140">
        <v>13274</v>
      </c>
      <c r="D101" s="141">
        <v>0.30269739192568773</v>
      </c>
      <c r="E101" s="141">
        <v>0.31475526973919254</v>
      </c>
      <c r="F101" s="141">
        <v>0.38254733833511967</v>
      </c>
      <c r="G101" s="142">
        <f t="shared" si="56"/>
        <v>4018.0051804215791</v>
      </c>
      <c r="H101" s="142">
        <f t="shared" si="57"/>
        <v>4178.061450518042</v>
      </c>
      <c r="I101" s="142">
        <f t="shared" si="58"/>
        <v>5077.9333690603789</v>
      </c>
      <c r="J101" s="143">
        <f t="shared" si="66"/>
        <v>1675.5081602357986</v>
      </c>
      <c r="K101" s="143">
        <f t="shared" si="67"/>
        <v>1742.2516248660236</v>
      </c>
      <c r="L101" s="143">
        <f t="shared" si="68"/>
        <v>2117.498214898178</v>
      </c>
      <c r="M101" s="145">
        <f t="shared" si="29"/>
        <v>5535.2579999999998</v>
      </c>
      <c r="N101" s="149" t="e">
        <f>#REF!/100</f>
        <v>#REF!</v>
      </c>
      <c r="O101" s="149" t="e">
        <f>#REF!/100</f>
        <v>#REF!</v>
      </c>
      <c r="P101" s="149" t="e">
        <f>#REF!/50</f>
        <v>#REF!</v>
      </c>
      <c r="Q101" s="148"/>
      <c r="R101" s="148" t="e">
        <f t="shared" si="60"/>
        <v>#REF!</v>
      </c>
      <c r="S101" s="148" t="e">
        <f t="shared" si="69"/>
        <v>#REF!</v>
      </c>
      <c r="T101" s="148" t="e">
        <f t="shared" si="69"/>
        <v>#REF!</v>
      </c>
      <c r="U101" s="148"/>
      <c r="V101" s="148"/>
      <c r="W101" s="148"/>
      <c r="X101" s="148"/>
      <c r="Y101" s="148"/>
      <c r="Z101" s="150">
        <f t="shared" si="70"/>
        <v>5</v>
      </c>
      <c r="AA101" s="154">
        <v>4</v>
      </c>
      <c r="AB101" s="163">
        <f t="shared" si="61"/>
        <v>8</v>
      </c>
      <c r="AC101" s="149">
        <f t="shared" si="62"/>
        <v>4</v>
      </c>
      <c r="AD101" s="149">
        <f t="shared" si="63"/>
        <v>1.3333333333333333</v>
      </c>
      <c r="AE101" s="320">
        <v>1</v>
      </c>
      <c r="AF101" s="286"/>
      <c r="AG101" s="284"/>
      <c r="AH101" s="148"/>
      <c r="AI101" s="148"/>
      <c r="AJ101" s="148"/>
      <c r="AK101" s="148"/>
      <c r="AL101" s="148"/>
      <c r="AM101" s="148"/>
      <c r="AN101" s="148"/>
      <c r="AO101" s="148"/>
      <c r="AP101" s="150"/>
      <c r="AQ101" s="154"/>
    </row>
    <row r="102" spans="1:43" ht="17.25" thickTop="1" thickBot="1" x14ac:dyDescent="0.3">
      <c r="A102" s="138" t="s">
        <v>212</v>
      </c>
      <c r="B102" s="153" t="s">
        <v>216</v>
      </c>
      <c r="C102" s="140">
        <v>26548</v>
      </c>
      <c r="D102" s="141">
        <v>0.4166802353160306</v>
      </c>
      <c r="E102" s="141">
        <v>0.42298420010167431</v>
      </c>
      <c r="F102" s="141">
        <v>0.1603355645822952</v>
      </c>
      <c r="G102" s="142">
        <f t="shared" si="56"/>
        <v>11062.026887169981</v>
      </c>
      <c r="H102" s="142">
        <f t="shared" si="57"/>
        <v>11229.38454429925</v>
      </c>
      <c r="I102" s="142">
        <f t="shared" si="58"/>
        <v>4256.588568530773</v>
      </c>
      <c r="J102" s="143">
        <f t="shared" si="66"/>
        <v>4612.8652119498829</v>
      </c>
      <c r="K102" s="143">
        <f t="shared" si="67"/>
        <v>4682.6533549727874</v>
      </c>
      <c r="L102" s="143">
        <f t="shared" si="68"/>
        <v>1774.9974330773325</v>
      </c>
      <c r="M102" s="145">
        <f t="shared" si="29"/>
        <v>11070.516000000003</v>
      </c>
      <c r="N102" s="149" t="e">
        <f>#REF!/100</f>
        <v>#REF!</v>
      </c>
      <c r="O102" s="149" t="e">
        <f>#REF!/100</f>
        <v>#REF!</v>
      </c>
      <c r="P102" s="149" t="e">
        <f>#REF!/50</f>
        <v>#REF!</v>
      </c>
      <c r="Q102" s="148"/>
      <c r="R102" s="148" t="e">
        <f t="shared" si="60"/>
        <v>#REF!</v>
      </c>
      <c r="S102" s="148" t="e">
        <f t="shared" si="69"/>
        <v>#REF!</v>
      </c>
      <c r="T102" s="148" t="e">
        <f t="shared" si="69"/>
        <v>#REF!</v>
      </c>
      <c r="U102" s="148"/>
      <c r="V102" s="148"/>
      <c r="W102" s="148"/>
      <c r="X102" s="148"/>
      <c r="Y102" s="148"/>
      <c r="Z102" s="150">
        <f t="shared" si="70"/>
        <v>9</v>
      </c>
      <c r="AA102" s="154">
        <v>6</v>
      </c>
      <c r="AB102" s="163">
        <f t="shared" si="61"/>
        <v>12</v>
      </c>
      <c r="AC102" s="149">
        <f t="shared" si="62"/>
        <v>6</v>
      </c>
      <c r="AD102" s="149">
        <f t="shared" si="63"/>
        <v>2</v>
      </c>
      <c r="AE102" s="320">
        <v>2</v>
      </c>
      <c r="AF102" s="286"/>
      <c r="AG102" s="284"/>
      <c r="AH102" s="148"/>
      <c r="AI102" s="148"/>
      <c r="AJ102" s="148"/>
      <c r="AK102" s="148"/>
      <c r="AL102" s="148"/>
      <c r="AM102" s="148"/>
      <c r="AN102" s="148"/>
      <c r="AO102" s="148"/>
      <c r="AP102" s="150"/>
      <c r="AQ102" s="154"/>
    </row>
    <row r="103" spans="1:43" ht="17.25" thickTop="1" thickBot="1" x14ac:dyDescent="0.3">
      <c r="A103" s="138" t="s">
        <v>212</v>
      </c>
      <c r="B103" s="153" t="s">
        <v>217</v>
      </c>
      <c r="C103" s="140">
        <v>55750</v>
      </c>
      <c r="D103" s="141">
        <v>0.29957531905411466</v>
      </c>
      <c r="E103" s="141">
        <v>0.35972417294025533</v>
      </c>
      <c r="F103" s="141">
        <v>0.34070050800563001</v>
      </c>
      <c r="G103" s="142">
        <f t="shared" si="56"/>
        <v>16701.324037266892</v>
      </c>
      <c r="H103" s="142">
        <f t="shared" si="57"/>
        <v>20054.622641419235</v>
      </c>
      <c r="I103" s="142">
        <f t="shared" si="58"/>
        <v>18994.053321313873</v>
      </c>
      <c r="J103" s="143">
        <f t="shared" si="66"/>
        <v>6964.4521235402945</v>
      </c>
      <c r="K103" s="143">
        <f t="shared" si="67"/>
        <v>8362.777641471821</v>
      </c>
      <c r="L103" s="143">
        <f t="shared" si="68"/>
        <v>7920.5202349878855</v>
      </c>
      <c r="M103" s="145">
        <f t="shared" si="29"/>
        <v>23247.75</v>
      </c>
      <c r="N103" s="149" t="e">
        <f>#REF!/100</f>
        <v>#REF!</v>
      </c>
      <c r="O103" s="149" t="e">
        <f>#REF!/100</f>
        <v>#REF!</v>
      </c>
      <c r="P103" s="149" t="e">
        <f>#REF!/50</f>
        <v>#REF!</v>
      </c>
      <c r="Q103" s="148"/>
      <c r="R103" s="148" t="e">
        <f t="shared" si="60"/>
        <v>#REF!</v>
      </c>
      <c r="S103" s="148" t="e">
        <f t="shared" si="69"/>
        <v>#REF!</v>
      </c>
      <c r="T103" s="148" t="e">
        <f t="shared" si="69"/>
        <v>#REF!</v>
      </c>
      <c r="U103" s="148"/>
      <c r="V103" s="148"/>
      <c r="W103" s="148"/>
      <c r="X103" s="148"/>
      <c r="Y103" s="148"/>
      <c r="Z103" s="150">
        <f t="shared" si="70"/>
        <v>19</v>
      </c>
      <c r="AA103" s="154">
        <v>15</v>
      </c>
      <c r="AB103" s="163">
        <f t="shared" si="61"/>
        <v>30</v>
      </c>
      <c r="AC103" s="149">
        <f t="shared" si="62"/>
        <v>15</v>
      </c>
      <c r="AD103" s="149">
        <f t="shared" si="63"/>
        <v>5</v>
      </c>
      <c r="AE103" s="320">
        <v>4</v>
      </c>
      <c r="AF103" s="286">
        <v>3</v>
      </c>
      <c r="AG103" s="284"/>
      <c r="AH103" s="148"/>
      <c r="AI103" s="148"/>
      <c r="AJ103" s="148"/>
      <c r="AK103" s="148"/>
      <c r="AL103" s="148"/>
      <c r="AM103" s="148"/>
      <c r="AN103" s="148"/>
      <c r="AO103" s="148"/>
      <c r="AP103" s="150"/>
      <c r="AQ103" s="154"/>
    </row>
    <row r="104" spans="1:43" ht="17.25" thickTop="1" thickBot="1" x14ac:dyDescent="0.3">
      <c r="A104" s="138" t="s">
        <v>212</v>
      </c>
      <c r="B104" s="153" t="s">
        <v>218</v>
      </c>
      <c r="C104" s="140">
        <v>10619</v>
      </c>
      <c r="D104" s="141">
        <v>0.51089509594634819</v>
      </c>
      <c r="E104" s="141">
        <v>0.48910490405365165</v>
      </c>
      <c r="F104" s="141">
        <v>0</v>
      </c>
      <c r="G104" s="142">
        <f t="shared" si="56"/>
        <v>5425.1950238542713</v>
      </c>
      <c r="H104" s="142">
        <f t="shared" si="57"/>
        <v>5193.8049761457269</v>
      </c>
      <c r="I104" s="142">
        <f t="shared" si="58"/>
        <v>0</v>
      </c>
      <c r="J104" s="143">
        <f t="shared" si="66"/>
        <v>2262.3063249472311</v>
      </c>
      <c r="K104" s="143">
        <f t="shared" si="67"/>
        <v>2165.8166750527685</v>
      </c>
      <c r="L104" s="143">
        <f t="shared" si="68"/>
        <v>0</v>
      </c>
      <c r="M104" s="145">
        <f t="shared" si="29"/>
        <v>4428.1229999999996</v>
      </c>
      <c r="N104" s="149" t="e">
        <f>#REF!/100</f>
        <v>#REF!</v>
      </c>
      <c r="O104" s="149" t="e">
        <f>#REF!/100</f>
        <v>#REF!</v>
      </c>
      <c r="P104" s="149" t="e">
        <f>#REF!/50</f>
        <v>#REF!</v>
      </c>
      <c r="Q104" s="148"/>
      <c r="R104" s="148" t="e">
        <f t="shared" si="60"/>
        <v>#REF!</v>
      </c>
      <c r="S104" s="148" t="e">
        <f t="shared" si="69"/>
        <v>#REF!</v>
      </c>
      <c r="T104" s="148" t="e">
        <f t="shared" si="69"/>
        <v>#REF!</v>
      </c>
      <c r="U104" s="148"/>
      <c r="V104" s="148"/>
      <c r="W104" s="148"/>
      <c r="X104" s="148"/>
      <c r="Y104" s="148"/>
      <c r="Z104" s="150">
        <f t="shared" si="70"/>
        <v>4</v>
      </c>
      <c r="AA104" s="154">
        <v>3</v>
      </c>
      <c r="AB104" s="163">
        <f t="shared" si="61"/>
        <v>6</v>
      </c>
      <c r="AC104" s="149">
        <f t="shared" si="62"/>
        <v>3</v>
      </c>
      <c r="AD104" s="149">
        <f t="shared" si="63"/>
        <v>1</v>
      </c>
      <c r="AE104" s="320">
        <v>1</v>
      </c>
      <c r="AF104" s="286"/>
      <c r="AG104" s="284"/>
      <c r="AH104" s="148"/>
      <c r="AI104" s="148"/>
      <c r="AJ104" s="148"/>
      <c r="AK104" s="148"/>
      <c r="AL104" s="148"/>
      <c r="AM104" s="148"/>
      <c r="AN104" s="148"/>
      <c r="AO104" s="148"/>
      <c r="AP104" s="150"/>
      <c r="AQ104" s="154"/>
    </row>
    <row r="105" spans="1:43" ht="17.25" thickTop="1" thickBot="1" x14ac:dyDescent="0.3">
      <c r="A105" s="138" t="s">
        <v>212</v>
      </c>
      <c r="B105" s="153" t="s">
        <v>219</v>
      </c>
      <c r="C105" s="140">
        <v>45132</v>
      </c>
      <c r="D105" s="141">
        <v>0.41870313927790426</v>
      </c>
      <c r="E105" s="141">
        <v>0.38587757019167018</v>
      </c>
      <c r="F105" s="141">
        <v>0.19542460209203133</v>
      </c>
      <c r="G105" s="142">
        <f t="shared" si="56"/>
        <v>18896.910081890375</v>
      </c>
      <c r="H105" s="142">
        <f t="shared" si="57"/>
        <v>17415.426497890458</v>
      </c>
      <c r="I105" s="142">
        <f t="shared" si="58"/>
        <v>8819.9031416175585</v>
      </c>
      <c r="J105" s="143">
        <f t="shared" si="66"/>
        <v>7880.0115041482868</v>
      </c>
      <c r="K105" s="143">
        <f t="shared" si="67"/>
        <v>7262.2328496203218</v>
      </c>
      <c r="L105" s="143">
        <f t="shared" si="68"/>
        <v>3677.8996100545223</v>
      </c>
      <c r="M105" s="145">
        <f t="shared" si="29"/>
        <v>18820.143963823131</v>
      </c>
      <c r="N105" s="149" t="e">
        <f>#REF!/100</f>
        <v>#REF!</v>
      </c>
      <c r="O105" s="149" t="e">
        <f>#REF!/100</f>
        <v>#REF!</v>
      </c>
      <c r="P105" s="149" t="e">
        <f>#REF!/50</f>
        <v>#REF!</v>
      </c>
      <c r="Q105" s="148"/>
      <c r="R105" s="148" t="e">
        <f t="shared" si="60"/>
        <v>#REF!</v>
      </c>
      <c r="S105" s="148" t="e">
        <f t="shared" si="69"/>
        <v>#REF!</v>
      </c>
      <c r="T105" s="148" t="e">
        <f t="shared" si="69"/>
        <v>#REF!</v>
      </c>
      <c r="U105" s="148"/>
      <c r="V105" s="148"/>
      <c r="W105" s="148"/>
      <c r="X105" s="148"/>
      <c r="Y105" s="148"/>
      <c r="Z105" s="150">
        <f t="shared" si="70"/>
        <v>16</v>
      </c>
      <c r="AA105" s="154">
        <v>14</v>
      </c>
      <c r="AB105" s="163">
        <f t="shared" si="61"/>
        <v>28</v>
      </c>
      <c r="AC105" s="149">
        <f t="shared" si="62"/>
        <v>14</v>
      </c>
      <c r="AD105" s="149">
        <f t="shared" si="63"/>
        <v>4.666666666666667</v>
      </c>
      <c r="AE105" s="320">
        <v>3</v>
      </c>
      <c r="AF105" s="286"/>
      <c r="AG105" s="284"/>
      <c r="AH105" s="148"/>
      <c r="AI105" s="148"/>
      <c r="AJ105" s="148"/>
      <c r="AK105" s="148"/>
      <c r="AL105" s="148"/>
      <c r="AM105" s="148"/>
      <c r="AN105" s="148"/>
      <c r="AO105" s="148"/>
      <c r="AP105" s="150"/>
      <c r="AQ105" s="154"/>
    </row>
    <row r="106" spans="1:43" ht="17.25" thickTop="1" thickBot="1" x14ac:dyDescent="0.3">
      <c r="A106" s="138" t="s">
        <v>212</v>
      </c>
      <c r="B106" s="153" t="s">
        <v>220</v>
      </c>
      <c r="C106" s="140">
        <v>29203</v>
      </c>
      <c r="D106" s="141">
        <v>0.30445651633644466</v>
      </c>
      <c r="E106" s="141">
        <v>0.57213472542162558</v>
      </c>
      <c r="F106" s="141">
        <v>0.12340875824192983</v>
      </c>
      <c r="G106" s="142">
        <f t="shared" si="56"/>
        <v>8891.0436465731927</v>
      </c>
      <c r="H106" s="142">
        <f t="shared" si="57"/>
        <v>16708.050386487732</v>
      </c>
      <c r="I106" s="142">
        <f t="shared" si="58"/>
        <v>3603.9059669390767</v>
      </c>
      <c r="J106" s="143">
        <f t="shared" si="66"/>
        <v>3707.5652006210216</v>
      </c>
      <c r="K106" s="143">
        <f t="shared" si="67"/>
        <v>6967.2570111653849</v>
      </c>
      <c r="L106" s="143">
        <f t="shared" si="68"/>
        <v>1502.8287882135951</v>
      </c>
      <c r="M106" s="145">
        <f t="shared" si="29"/>
        <v>12177.651000000002</v>
      </c>
      <c r="N106" s="149" t="e">
        <f>#REF!/100</f>
        <v>#REF!</v>
      </c>
      <c r="O106" s="149" t="e">
        <f>#REF!/100</f>
        <v>#REF!</v>
      </c>
      <c r="P106" s="149" t="e">
        <f>#REF!/50</f>
        <v>#REF!</v>
      </c>
      <c r="Q106" s="148"/>
      <c r="R106" s="148" t="e">
        <f t="shared" si="60"/>
        <v>#REF!</v>
      </c>
      <c r="S106" s="148" t="e">
        <f t="shared" si="69"/>
        <v>#REF!</v>
      </c>
      <c r="T106" s="148" t="e">
        <f t="shared" si="69"/>
        <v>#REF!</v>
      </c>
      <c r="U106" s="148"/>
      <c r="V106" s="148"/>
      <c r="W106" s="148"/>
      <c r="X106" s="148"/>
      <c r="Y106" s="148"/>
      <c r="Z106" s="150">
        <f t="shared" si="70"/>
        <v>10</v>
      </c>
      <c r="AA106" s="154">
        <v>8</v>
      </c>
      <c r="AB106" s="163">
        <f t="shared" si="61"/>
        <v>16</v>
      </c>
      <c r="AC106" s="149">
        <f t="shared" si="62"/>
        <v>8</v>
      </c>
      <c r="AD106" s="149">
        <f t="shared" si="63"/>
        <v>2.6666666666666665</v>
      </c>
      <c r="AE106" s="320">
        <v>2</v>
      </c>
      <c r="AF106" s="286"/>
      <c r="AG106" s="284"/>
      <c r="AH106" s="148"/>
      <c r="AI106" s="148"/>
      <c r="AJ106" s="148"/>
      <c r="AK106" s="148"/>
      <c r="AL106" s="148"/>
      <c r="AM106" s="148"/>
      <c r="AN106" s="148"/>
      <c r="AO106" s="148"/>
      <c r="AP106" s="150"/>
      <c r="AQ106" s="154"/>
    </row>
    <row r="107" spans="1:43" ht="17.25" thickTop="1" thickBot="1" x14ac:dyDescent="0.3">
      <c r="A107" s="138" t="s">
        <v>212</v>
      </c>
      <c r="B107" s="153" t="s">
        <v>221</v>
      </c>
      <c r="C107" s="140">
        <v>5310</v>
      </c>
      <c r="D107" s="141">
        <v>6.9958158995815894E-2</v>
      </c>
      <c r="E107" s="141">
        <v>0.30493723849372384</v>
      </c>
      <c r="F107" s="141">
        <v>0.62510460251046029</v>
      </c>
      <c r="G107" s="142">
        <f t="shared" si="56"/>
        <v>371.47782426778241</v>
      </c>
      <c r="H107" s="142">
        <f t="shared" si="57"/>
        <v>1619.2167364016736</v>
      </c>
      <c r="I107" s="142">
        <f t="shared" si="58"/>
        <v>3319.3054393305442</v>
      </c>
      <c r="J107" s="143">
        <f t="shared" si="66"/>
        <v>154.90625271966528</v>
      </c>
      <c r="K107" s="143">
        <f t="shared" si="67"/>
        <v>675.21337907949794</v>
      </c>
      <c r="L107" s="143">
        <f t="shared" si="68"/>
        <v>1384.150368200837</v>
      </c>
      <c r="M107" s="145">
        <f t="shared" si="29"/>
        <v>2214.2700000000004</v>
      </c>
      <c r="N107" s="149" t="e">
        <f>#REF!/100</f>
        <v>#REF!</v>
      </c>
      <c r="O107" s="149" t="e">
        <f>#REF!/100</f>
        <v>#REF!</v>
      </c>
      <c r="P107" s="149" t="e">
        <f>#REF!/50</f>
        <v>#REF!</v>
      </c>
      <c r="Q107" s="148"/>
      <c r="R107" s="148" t="e">
        <f t="shared" si="60"/>
        <v>#REF!</v>
      </c>
      <c r="S107" s="148" t="e">
        <f t="shared" si="69"/>
        <v>#REF!</v>
      </c>
      <c r="T107" s="148" t="e">
        <f t="shared" si="69"/>
        <v>#REF!</v>
      </c>
      <c r="U107" s="148"/>
      <c r="V107" s="148"/>
      <c r="W107" s="148"/>
      <c r="X107" s="148"/>
      <c r="Y107" s="148"/>
      <c r="Z107" s="150">
        <f t="shared" si="70"/>
        <v>2</v>
      </c>
      <c r="AA107" s="154">
        <v>2</v>
      </c>
      <c r="AB107" s="163">
        <f t="shared" si="61"/>
        <v>4</v>
      </c>
      <c r="AC107" s="149">
        <f t="shared" si="62"/>
        <v>2</v>
      </c>
      <c r="AD107" s="149">
        <f t="shared" si="63"/>
        <v>0.66666666666666663</v>
      </c>
      <c r="AE107" s="320">
        <v>1</v>
      </c>
      <c r="AF107" s="286"/>
      <c r="AG107" s="284"/>
      <c r="AH107" s="148"/>
      <c r="AI107" s="148"/>
      <c r="AJ107" s="148"/>
      <c r="AK107" s="148"/>
      <c r="AL107" s="148"/>
      <c r="AM107" s="148"/>
      <c r="AN107" s="148"/>
      <c r="AO107" s="148"/>
      <c r="AP107" s="150"/>
      <c r="AQ107" s="154"/>
    </row>
    <row r="108" spans="1:43" ht="19.5" thickTop="1" thickBot="1" x14ac:dyDescent="0.3">
      <c r="A108" s="138"/>
      <c r="B108" s="153"/>
      <c r="C108" s="308">
        <f>SUM(C98:C107)</f>
        <v>265480</v>
      </c>
      <c r="D108" s="141"/>
      <c r="E108" s="141"/>
      <c r="F108" s="141"/>
      <c r="G108" s="308">
        <f>SUM(G98:G107)</f>
        <v>96447.947755005196</v>
      </c>
      <c r="H108" s="308">
        <f t="shared" ref="H108:AF108" si="71">SUM(H98:H107)</f>
        <v>100291.83530714926</v>
      </c>
      <c r="I108" s="308">
        <f t="shared" si="71"/>
        <v>68740.456659243951</v>
      </c>
      <c r="J108" s="308">
        <f t="shared" si="71"/>
        <v>40218.794213837173</v>
      </c>
      <c r="K108" s="308">
        <f t="shared" si="71"/>
        <v>41821.695323081236</v>
      </c>
      <c r="L108" s="308">
        <f t="shared" si="71"/>
        <v>28664.770426904735</v>
      </c>
      <c r="M108" s="308">
        <f t="shared" si="71"/>
        <v>110705.25996382313</v>
      </c>
      <c r="N108" s="308" t="e">
        <f t="shared" si="71"/>
        <v>#REF!</v>
      </c>
      <c r="O108" s="308" t="e">
        <f t="shared" si="71"/>
        <v>#REF!</v>
      </c>
      <c r="P108" s="308" t="e">
        <f t="shared" si="71"/>
        <v>#REF!</v>
      </c>
      <c r="Q108" s="308">
        <f t="shared" si="71"/>
        <v>0</v>
      </c>
      <c r="R108" s="308" t="e">
        <f t="shared" si="71"/>
        <v>#REF!</v>
      </c>
      <c r="S108" s="308" t="e">
        <f t="shared" si="71"/>
        <v>#REF!</v>
      </c>
      <c r="T108" s="308" t="e">
        <f t="shared" si="71"/>
        <v>#REF!</v>
      </c>
      <c r="U108" s="308">
        <f t="shared" si="71"/>
        <v>0</v>
      </c>
      <c r="V108" s="308">
        <f t="shared" si="71"/>
        <v>0</v>
      </c>
      <c r="W108" s="308">
        <f t="shared" si="71"/>
        <v>0</v>
      </c>
      <c r="X108" s="308">
        <f t="shared" si="71"/>
        <v>0</v>
      </c>
      <c r="Y108" s="308">
        <f t="shared" si="71"/>
        <v>0</v>
      </c>
      <c r="Z108" s="308">
        <f t="shared" si="71"/>
        <v>94</v>
      </c>
      <c r="AA108" s="308">
        <f t="shared" si="71"/>
        <v>76</v>
      </c>
      <c r="AB108" s="308">
        <f t="shared" si="71"/>
        <v>152</v>
      </c>
      <c r="AC108" s="308">
        <f t="shared" si="71"/>
        <v>76</v>
      </c>
      <c r="AD108" s="308">
        <f t="shared" si="71"/>
        <v>25.333333333333339</v>
      </c>
      <c r="AE108" s="309">
        <f t="shared" si="71"/>
        <v>20</v>
      </c>
      <c r="AF108" s="310">
        <f t="shared" si="71"/>
        <v>3</v>
      </c>
      <c r="AG108" s="284"/>
      <c r="AH108" s="148"/>
      <c r="AI108" s="148"/>
      <c r="AJ108" s="148"/>
      <c r="AK108" s="148"/>
      <c r="AL108" s="148"/>
      <c r="AM108" s="148"/>
      <c r="AN108" s="148"/>
      <c r="AO108" s="148"/>
      <c r="AP108" s="150"/>
      <c r="AQ108" s="154"/>
    </row>
    <row r="109" spans="1:43" ht="17.25" thickTop="1" thickBot="1" x14ac:dyDescent="0.3">
      <c r="A109" s="138" t="s">
        <v>222</v>
      </c>
      <c r="B109" s="153" t="s">
        <v>223</v>
      </c>
      <c r="C109" s="140">
        <v>9793</v>
      </c>
      <c r="D109" s="141">
        <v>0.26531682752832603</v>
      </c>
      <c r="E109" s="141">
        <v>0.31986991187578701</v>
      </c>
      <c r="F109" s="141">
        <v>0.41481326059588802</v>
      </c>
      <c r="G109" s="142">
        <f t="shared" si="56"/>
        <v>2598.2476919848968</v>
      </c>
      <c r="H109" s="142">
        <f t="shared" si="57"/>
        <v>3132.486046999582</v>
      </c>
      <c r="I109" s="142">
        <f t="shared" si="58"/>
        <v>4062.2662610155312</v>
      </c>
      <c r="J109" s="143">
        <f>G109*41.7%</f>
        <v>1083.469287557702</v>
      </c>
      <c r="K109" s="143">
        <f t="shared" ref="K109:L109" si="72">H109*41.7%</f>
        <v>1306.2466815988257</v>
      </c>
      <c r="L109" s="143">
        <f t="shared" si="72"/>
        <v>1693.9650308434766</v>
      </c>
      <c r="M109" s="145">
        <f t="shared" si="29"/>
        <v>4083.6810000000041</v>
      </c>
      <c r="N109" s="149" t="e">
        <f>#REF!/100</f>
        <v>#REF!</v>
      </c>
      <c r="O109" s="149" t="e">
        <f>#REF!/100</f>
        <v>#REF!</v>
      </c>
      <c r="P109" s="149" t="e">
        <f>#REF!/50</f>
        <v>#REF!</v>
      </c>
      <c r="Q109" s="148"/>
      <c r="R109" s="148" t="e">
        <f t="shared" si="60"/>
        <v>#REF!</v>
      </c>
      <c r="S109" s="148" t="e">
        <f t="shared" si="69"/>
        <v>#REF!</v>
      </c>
      <c r="T109" s="148" t="e">
        <f t="shared" si="69"/>
        <v>#REF!</v>
      </c>
      <c r="U109" s="148"/>
      <c r="V109" s="148"/>
      <c r="W109" s="148"/>
      <c r="X109" s="148"/>
      <c r="Y109" s="148"/>
      <c r="Z109" s="150">
        <f>ROUND(M109/120/10,0)</f>
        <v>3</v>
      </c>
      <c r="AA109" s="154">
        <v>3</v>
      </c>
      <c r="AB109" s="164">
        <f t="shared" si="61"/>
        <v>6</v>
      </c>
      <c r="AC109" s="149">
        <f t="shared" si="62"/>
        <v>3</v>
      </c>
      <c r="AD109" s="149">
        <f t="shared" si="63"/>
        <v>1</v>
      </c>
      <c r="AE109" s="321">
        <v>1</v>
      </c>
      <c r="AF109" s="286"/>
      <c r="AG109" s="284"/>
      <c r="AH109" s="148"/>
      <c r="AI109" s="148"/>
      <c r="AJ109" s="148"/>
      <c r="AK109" s="148"/>
      <c r="AL109" s="148"/>
      <c r="AM109" s="148"/>
      <c r="AN109" s="148"/>
      <c r="AO109" s="148"/>
      <c r="AP109" s="150"/>
      <c r="AQ109" s="154"/>
    </row>
    <row r="110" spans="1:43" ht="17.25" thickTop="1" thickBot="1" x14ac:dyDescent="0.3">
      <c r="A110" s="138" t="s">
        <v>222</v>
      </c>
      <c r="B110" s="153" t="s">
        <v>224</v>
      </c>
      <c r="C110" s="140">
        <v>32049</v>
      </c>
      <c r="D110" s="141">
        <v>0.475900520871543</v>
      </c>
      <c r="E110" s="141">
        <v>0.11242755483823599</v>
      </c>
      <c r="F110" s="141">
        <v>0.41167192429022098</v>
      </c>
      <c r="G110" s="142">
        <f t="shared" si="56"/>
        <v>15252.135793412082</v>
      </c>
      <c r="H110" s="142">
        <f t="shared" si="57"/>
        <v>3603.1907050106252</v>
      </c>
      <c r="I110" s="142">
        <f t="shared" si="58"/>
        <v>13193.673501577292</v>
      </c>
      <c r="J110" s="143">
        <f t="shared" ref="J110:J114" si="73">G110*41.7%</f>
        <v>6360.1406258528386</v>
      </c>
      <c r="K110" s="143">
        <f t="shared" ref="K110:K114" si="74">H110*41.7%</f>
        <v>1502.5305239894308</v>
      </c>
      <c r="L110" s="143">
        <f t="shared" ref="L110:L114" si="75">I110*41.7%</f>
        <v>5501.7618501577308</v>
      </c>
      <c r="M110" s="145">
        <f t="shared" si="29"/>
        <v>13364.433000000001</v>
      </c>
      <c r="N110" s="149" t="e">
        <f>#REF!/100</f>
        <v>#REF!</v>
      </c>
      <c r="O110" s="149" t="e">
        <f>#REF!/100</f>
        <v>#REF!</v>
      </c>
      <c r="P110" s="149" t="e">
        <f>#REF!/50</f>
        <v>#REF!</v>
      </c>
      <c r="Q110" s="148"/>
      <c r="R110" s="148" t="e">
        <f t="shared" si="60"/>
        <v>#REF!</v>
      </c>
      <c r="S110" s="148" t="e">
        <f t="shared" si="69"/>
        <v>#REF!</v>
      </c>
      <c r="T110" s="148" t="e">
        <f t="shared" si="69"/>
        <v>#REF!</v>
      </c>
      <c r="U110" s="148"/>
      <c r="V110" s="148"/>
      <c r="W110" s="148"/>
      <c r="X110" s="148"/>
      <c r="Y110" s="148"/>
      <c r="Z110" s="150">
        <f t="shared" ref="Z110:Z114" si="76">ROUND(M110/120/10,0)</f>
        <v>11</v>
      </c>
      <c r="AA110" s="154">
        <v>8</v>
      </c>
      <c r="AB110" s="164">
        <f t="shared" si="61"/>
        <v>16</v>
      </c>
      <c r="AC110" s="149">
        <f t="shared" si="62"/>
        <v>8</v>
      </c>
      <c r="AD110" s="149">
        <f t="shared" si="63"/>
        <v>2.6666666666666665</v>
      </c>
      <c r="AE110" s="321">
        <v>2</v>
      </c>
      <c r="AF110" s="286">
        <v>2</v>
      </c>
      <c r="AG110" s="284"/>
      <c r="AH110" s="148"/>
      <c r="AI110" s="148"/>
      <c r="AJ110" s="148"/>
      <c r="AK110" s="148"/>
      <c r="AL110" s="148"/>
      <c r="AM110" s="148"/>
      <c r="AN110" s="148"/>
      <c r="AO110" s="148"/>
      <c r="AP110" s="150"/>
      <c r="AQ110" s="154"/>
    </row>
    <row r="111" spans="1:43" ht="17.25" thickTop="1" thickBot="1" x14ac:dyDescent="0.3">
      <c r="A111" s="138" t="s">
        <v>222</v>
      </c>
      <c r="B111" s="153" t="s">
        <v>225</v>
      </c>
      <c r="C111" s="140">
        <v>6232</v>
      </c>
      <c r="D111" s="141">
        <v>0.23881416415042001</v>
      </c>
      <c r="E111" s="141">
        <v>0.455256656601702</v>
      </c>
      <c r="F111" s="141">
        <v>0.305929179247873</v>
      </c>
      <c r="G111" s="142">
        <f t="shared" si="56"/>
        <v>1488.2898709854176</v>
      </c>
      <c r="H111" s="142">
        <f t="shared" si="57"/>
        <v>2837.1594839418067</v>
      </c>
      <c r="I111" s="142">
        <f t="shared" si="58"/>
        <v>1906.5506450727446</v>
      </c>
      <c r="J111" s="143">
        <f t="shared" si="73"/>
        <v>620.61687620091914</v>
      </c>
      <c r="K111" s="143">
        <f t="shared" si="74"/>
        <v>1183.0955048037335</v>
      </c>
      <c r="L111" s="143">
        <f t="shared" si="75"/>
        <v>795.03161899533461</v>
      </c>
      <c r="M111" s="145">
        <f t="shared" si="29"/>
        <v>2598.7439999999874</v>
      </c>
      <c r="N111" s="149" t="e">
        <f>#REF!/100</f>
        <v>#REF!</v>
      </c>
      <c r="O111" s="149" t="e">
        <f>#REF!/100</f>
        <v>#REF!</v>
      </c>
      <c r="P111" s="149" t="e">
        <f>#REF!/50</f>
        <v>#REF!</v>
      </c>
      <c r="Q111" s="148"/>
      <c r="R111" s="148" t="e">
        <f t="shared" si="60"/>
        <v>#REF!</v>
      </c>
      <c r="S111" s="148" t="e">
        <f t="shared" si="69"/>
        <v>#REF!</v>
      </c>
      <c r="T111" s="148" t="e">
        <f t="shared" si="69"/>
        <v>#REF!</v>
      </c>
      <c r="U111" s="148"/>
      <c r="V111" s="148"/>
      <c r="W111" s="148"/>
      <c r="X111" s="148"/>
      <c r="Y111" s="148"/>
      <c r="Z111" s="150">
        <f t="shared" si="76"/>
        <v>2</v>
      </c>
      <c r="AA111" s="154">
        <v>2</v>
      </c>
      <c r="AB111" s="164">
        <f t="shared" si="61"/>
        <v>4</v>
      </c>
      <c r="AC111" s="149">
        <f t="shared" si="62"/>
        <v>2</v>
      </c>
      <c r="AD111" s="149">
        <f t="shared" si="63"/>
        <v>0.66666666666666663</v>
      </c>
      <c r="AE111" s="321">
        <v>1</v>
      </c>
      <c r="AF111" s="286"/>
      <c r="AG111" s="284"/>
      <c r="AH111" s="148"/>
      <c r="AI111" s="148"/>
      <c r="AJ111" s="148"/>
      <c r="AK111" s="148"/>
      <c r="AL111" s="148"/>
      <c r="AM111" s="148"/>
      <c r="AN111" s="148"/>
      <c r="AO111" s="148"/>
      <c r="AP111" s="150"/>
      <c r="AQ111" s="154"/>
    </row>
    <row r="112" spans="1:43" ht="17.25" thickTop="1" thickBot="1" x14ac:dyDescent="0.3">
      <c r="A112" s="138" t="s">
        <v>222</v>
      </c>
      <c r="B112" s="153" t="s">
        <v>226</v>
      </c>
      <c r="C112" s="140">
        <v>16915</v>
      </c>
      <c r="D112" s="141">
        <v>0.315373208106772</v>
      </c>
      <c r="E112" s="141">
        <v>0.54479733069698499</v>
      </c>
      <c r="F112" s="141">
        <v>0.13982946119624301</v>
      </c>
      <c r="G112" s="142">
        <f t="shared" si="56"/>
        <v>5334.5378151260484</v>
      </c>
      <c r="H112" s="142">
        <f t="shared" si="57"/>
        <v>9215.2468487395017</v>
      </c>
      <c r="I112" s="142">
        <f t="shared" si="58"/>
        <v>2365.2153361344504</v>
      </c>
      <c r="J112" s="143">
        <f t="shared" si="73"/>
        <v>2224.5022689075622</v>
      </c>
      <c r="K112" s="143">
        <f t="shared" si="74"/>
        <v>3842.7579359243728</v>
      </c>
      <c r="L112" s="143">
        <f t="shared" si="75"/>
        <v>986.29479516806589</v>
      </c>
      <c r="M112" s="145">
        <f t="shared" si="29"/>
        <v>7053.5550000000012</v>
      </c>
      <c r="N112" s="149" t="e">
        <f>#REF!/100</f>
        <v>#REF!</v>
      </c>
      <c r="O112" s="149" t="e">
        <f>#REF!/100</f>
        <v>#REF!</v>
      </c>
      <c r="P112" s="149" t="e">
        <f>#REF!/50</f>
        <v>#REF!</v>
      </c>
      <c r="Q112" s="148"/>
      <c r="R112" s="148" t="e">
        <f t="shared" si="60"/>
        <v>#REF!</v>
      </c>
      <c r="S112" s="148" t="e">
        <f t="shared" si="69"/>
        <v>#REF!</v>
      </c>
      <c r="T112" s="148" t="e">
        <f t="shared" si="69"/>
        <v>#REF!</v>
      </c>
      <c r="U112" s="148"/>
      <c r="V112" s="148"/>
      <c r="W112" s="148"/>
      <c r="X112" s="148"/>
      <c r="Y112" s="148"/>
      <c r="Z112" s="150">
        <f t="shared" si="76"/>
        <v>6</v>
      </c>
      <c r="AA112" s="154">
        <v>5</v>
      </c>
      <c r="AB112" s="164">
        <f t="shared" si="61"/>
        <v>10</v>
      </c>
      <c r="AC112" s="149">
        <f t="shared" si="62"/>
        <v>5</v>
      </c>
      <c r="AD112" s="149">
        <f t="shared" si="63"/>
        <v>1.6666666666666667</v>
      </c>
      <c r="AE112" s="321">
        <v>1</v>
      </c>
      <c r="AF112" s="286"/>
      <c r="AG112" s="284"/>
      <c r="AH112" s="148"/>
      <c r="AI112" s="148"/>
      <c r="AJ112" s="148"/>
      <c r="AK112" s="148"/>
      <c r="AL112" s="148"/>
      <c r="AM112" s="148"/>
      <c r="AN112" s="148"/>
      <c r="AO112" s="148"/>
      <c r="AP112" s="150"/>
      <c r="AQ112" s="154"/>
    </row>
    <row r="113" spans="1:43" ht="17.25" thickTop="1" thickBot="1" x14ac:dyDescent="0.3">
      <c r="A113" s="138" t="s">
        <v>222</v>
      </c>
      <c r="B113" s="153" t="s">
        <v>227</v>
      </c>
      <c r="C113" s="140">
        <v>13354</v>
      </c>
      <c r="D113" s="141">
        <v>0.194310058487977</v>
      </c>
      <c r="E113" s="141">
        <v>0.388620116975955</v>
      </c>
      <c r="F113" s="141">
        <v>0.417069824536068</v>
      </c>
      <c r="G113" s="142">
        <f t="shared" si="56"/>
        <v>2594.8165210484449</v>
      </c>
      <c r="H113" s="142">
        <f t="shared" si="57"/>
        <v>5189.6330420969034</v>
      </c>
      <c r="I113" s="142">
        <f t="shared" si="58"/>
        <v>5569.5504368546517</v>
      </c>
      <c r="J113" s="143">
        <f t="shared" si="73"/>
        <v>1082.0384892772015</v>
      </c>
      <c r="K113" s="143">
        <f t="shared" si="74"/>
        <v>2164.0769785544089</v>
      </c>
      <c r="L113" s="143">
        <f t="shared" si="75"/>
        <v>2322.5025321683902</v>
      </c>
      <c r="M113" s="145">
        <f t="shared" si="29"/>
        <v>5568.6180000000004</v>
      </c>
      <c r="N113" s="149" t="e">
        <f>#REF!/100</f>
        <v>#REF!</v>
      </c>
      <c r="O113" s="149" t="e">
        <f>#REF!/100</f>
        <v>#REF!</v>
      </c>
      <c r="P113" s="149" t="e">
        <f>#REF!/50</f>
        <v>#REF!</v>
      </c>
      <c r="Q113" s="148"/>
      <c r="R113" s="148" t="e">
        <f t="shared" si="60"/>
        <v>#REF!</v>
      </c>
      <c r="S113" s="148" t="e">
        <f t="shared" si="69"/>
        <v>#REF!</v>
      </c>
      <c r="T113" s="148" t="e">
        <f t="shared" si="69"/>
        <v>#REF!</v>
      </c>
      <c r="U113" s="148"/>
      <c r="V113" s="148"/>
      <c r="W113" s="148"/>
      <c r="X113" s="148"/>
      <c r="Y113" s="148"/>
      <c r="Z113" s="150">
        <f t="shared" si="76"/>
        <v>5</v>
      </c>
      <c r="AA113" s="154">
        <v>5</v>
      </c>
      <c r="AB113" s="164">
        <f t="shared" si="61"/>
        <v>10</v>
      </c>
      <c r="AC113" s="149">
        <f t="shared" si="62"/>
        <v>5</v>
      </c>
      <c r="AD113" s="149">
        <f t="shared" si="63"/>
        <v>1.6666666666666667</v>
      </c>
      <c r="AE113" s="321">
        <v>1</v>
      </c>
      <c r="AF113" s="286"/>
      <c r="AG113" s="284"/>
      <c r="AH113" s="148"/>
      <c r="AI113" s="148"/>
      <c r="AJ113" s="148"/>
      <c r="AK113" s="148"/>
      <c r="AL113" s="148"/>
      <c r="AM113" s="148"/>
      <c r="AN113" s="148"/>
      <c r="AO113" s="148"/>
      <c r="AP113" s="150"/>
      <c r="AQ113" s="154"/>
    </row>
    <row r="114" spans="1:43" ht="17.25" thickTop="1" thickBot="1" x14ac:dyDescent="0.3">
      <c r="A114" s="138" t="s">
        <v>222</v>
      </c>
      <c r="B114" s="153" t="s">
        <v>228</v>
      </c>
      <c r="C114" s="140">
        <v>10683</v>
      </c>
      <c r="D114" s="141">
        <v>0.18733534060970999</v>
      </c>
      <c r="E114" s="141">
        <v>0.64442980805419703</v>
      </c>
      <c r="F114" s="141">
        <v>0.16823485133609301</v>
      </c>
      <c r="G114" s="142">
        <f t="shared" si="56"/>
        <v>2001.3034437335318</v>
      </c>
      <c r="H114" s="142">
        <f t="shared" si="57"/>
        <v>6884.4436394429868</v>
      </c>
      <c r="I114" s="142">
        <f t="shared" si="58"/>
        <v>1797.2529168234817</v>
      </c>
      <c r="J114" s="143">
        <f t="shared" si="73"/>
        <v>834.54353603688287</v>
      </c>
      <c r="K114" s="143">
        <f t="shared" si="74"/>
        <v>2870.8129976477258</v>
      </c>
      <c r="L114" s="143">
        <f t="shared" si="75"/>
        <v>749.45446631539187</v>
      </c>
      <c r="M114" s="145">
        <f t="shared" si="29"/>
        <v>4454.8110000000006</v>
      </c>
      <c r="N114" s="149" t="e">
        <f>#REF!/100</f>
        <v>#REF!</v>
      </c>
      <c r="O114" s="149" t="e">
        <f>#REF!/100</f>
        <v>#REF!</v>
      </c>
      <c r="P114" s="149" t="e">
        <f>#REF!/50</f>
        <v>#REF!</v>
      </c>
      <c r="Q114" s="148"/>
      <c r="R114" s="148" t="e">
        <f t="shared" si="60"/>
        <v>#REF!</v>
      </c>
      <c r="S114" s="148" t="e">
        <f t="shared" si="69"/>
        <v>#REF!</v>
      </c>
      <c r="T114" s="148" t="e">
        <f t="shared" si="69"/>
        <v>#REF!</v>
      </c>
      <c r="U114" s="148"/>
      <c r="V114" s="148"/>
      <c r="W114" s="148"/>
      <c r="X114" s="148"/>
      <c r="Y114" s="148"/>
      <c r="Z114" s="150">
        <f t="shared" si="76"/>
        <v>4</v>
      </c>
      <c r="AA114" s="154">
        <v>4</v>
      </c>
      <c r="AB114" s="164">
        <f t="shared" si="61"/>
        <v>8</v>
      </c>
      <c r="AC114" s="149">
        <f t="shared" si="62"/>
        <v>4</v>
      </c>
      <c r="AD114" s="149">
        <f t="shared" si="63"/>
        <v>1.3333333333333333</v>
      </c>
      <c r="AE114" s="321">
        <v>1</v>
      </c>
      <c r="AF114" s="286"/>
      <c r="AG114" s="284"/>
      <c r="AH114" s="148"/>
      <c r="AI114" s="148"/>
      <c r="AJ114" s="148"/>
      <c r="AK114" s="148"/>
      <c r="AL114" s="148"/>
      <c r="AM114" s="148"/>
      <c r="AN114" s="148"/>
      <c r="AO114" s="148"/>
      <c r="AP114" s="150"/>
      <c r="AQ114" s="154"/>
    </row>
    <row r="115" spans="1:43" ht="19.5" thickTop="1" thickBot="1" x14ac:dyDescent="0.3">
      <c r="A115" s="138"/>
      <c r="B115" s="153"/>
      <c r="C115" s="308">
        <f>SUM(C109:C114)</f>
        <v>89026</v>
      </c>
      <c r="D115" s="141"/>
      <c r="E115" s="141"/>
      <c r="F115" s="141"/>
      <c r="G115" s="308">
        <f>SUM(G109:G114)</f>
        <v>29269.331136290421</v>
      </c>
      <c r="H115" s="308">
        <f t="shared" ref="H115:AF115" si="77">SUM(H109:H114)</f>
        <v>30862.159766231405</v>
      </c>
      <c r="I115" s="308">
        <f t="shared" si="77"/>
        <v>28894.509097478156</v>
      </c>
      <c r="J115" s="308">
        <f t="shared" si="77"/>
        <v>12205.311083833107</v>
      </c>
      <c r="K115" s="308">
        <f t="shared" si="77"/>
        <v>12869.520622518496</v>
      </c>
      <c r="L115" s="308">
        <f t="shared" si="77"/>
        <v>12049.010293648389</v>
      </c>
      <c r="M115" s="308">
        <f t="shared" si="77"/>
        <v>37123.841999999997</v>
      </c>
      <c r="N115" s="308" t="e">
        <f t="shared" si="77"/>
        <v>#REF!</v>
      </c>
      <c r="O115" s="308" t="e">
        <f t="shared" si="77"/>
        <v>#REF!</v>
      </c>
      <c r="P115" s="308" t="e">
        <f t="shared" si="77"/>
        <v>#REF!</v>
      </c>
      <c r="Q115" s="308">
        <f t="shared" si="77"/>
        <v>0</v>
      </c>
      <c r="R115" s="308" t="e">
        <f t="shared" si="77"/>
        <v>#REF!</v>
      </c>
      <c r="S115" s="308" t="e">
        <f t="shared" si="77"/>
        <v>#REF!</v>
      </c>
      <c r="T115" s="308" t="e">
        <f t="shared" si="77"/>
        <v>#REF!</v>
      </c>
      <c r="U115" s="308">
        <f t="shared" si="77"/>
        <v>0</v>
      </c>
      <c r="V115" s="308">
        <f t="shared" si="77"/>
        <v>0</v>
      </c>
      <c r="W115" s="308">
        <f t="shared" si="77"/>
        <v>0</v>
      </c>
      <c r="X115" s="308">
        <f t="shared" si="77"/>
        <v>0</v>
      </c>
      <c r="Y115" s="308">
        <f t="shared" si="77"/>
        <v>0</v>
      </c>
      <c r="Z115" s="308">
        <f t="shared" si="77"/>
        <v>31</v>
      </c>
      <c r="AA115" s="308">
        <f t="shared" si="77"/>
        <v>27</v>
      </c>
      <c r="AB115" s="308">
        <f t="shared" si="77"/>
        <v>54</v>
      </c>
      <c r="AC115" s="308">
        <f t="shared" si="77"/>
        <v>27</v>
      </c>
      <c r="AD115" s="308">
        <f t="shared" si="77"/>
        <v>9</v>
      </c>
      <c r="AE115" s="309">
        <f t="shared" si="77"/>
        <v>7</v>
      </c>
      <c r="AF115" s="310">
        <f t="shared" si="77"/>
        <v>2</v>
      </c>
      <c r="AG115" s="284"/>
      <c r="AH115" s="148"/>
      <c r="AI115" s="148"/>
      <c r="AJ115" s="148"/>
      <c r="AK115" s="148"/>
      <c r="AL115" s="148"/>
      <c r="AM115" s="148"/>
      <c r="AN115" s="148"/>
      <c r="AO115" s="148"/>
      <c r="AP115" s="150"/>
      <c r="AQ115" s="154"/>
    </row>
    <row r="116" spans="1:43" ht="17.25" thickTop="1" thickBot="1" x14ac:dyDescent="0.3">
      <c r="A116" s="138" t="s">
        <v>26</v>
      </c>
      <c r="B116" s="153" t="s">
        <v>229</v>
      </c>
      <c r="C116" s="140">
        <v>13266</v>
      </c>
      <c r="D116" s="141">
        <v>0.33999999999999997</v>
      </c>
      <c r="E116" s="141">
        <v>0.65999999999999992</v>
      </c>
      <c r="F116" s="141">
        <v>0</v>
      </c>
      <c r="G116" s="142">
        <f t="shared" si="56"/>
        <v>4510.4399999999996</v>
      </c>
      <c r="H116" s="142">
        <f t="shared" si="57"/>
        <v>8755.56</v>
      </c>
      <c r="I116" s="142">
        <f t="shared" si="58"/>
        <v>0</v>
      </c>
      <c r="J116" s="143">
        <f>G116*41.7%</f>
        <v>1880.85348</v>
      </c>
      <c r="K116" s="143">
        <f t="shared" ref="K116:L116" si="78">H116*41.7%</f>
        <v>3651.0685200000003</v>
      </c>
      <c r="L116" s="143">
        <f t="shared" si="78"/>
        <v>0</v>
      </c>
      <c r="M116" s="145">
        <f t="shared" si="29"/>
        <v>5531.9220000000005</v>
      </c>
      <c r="N116" s="167" t="e">
        <f>#REF!/100</f>
        <v>#REF!</v>
      </c>
      <c r="O116" s="149" t="e">
        <f>#REF!/100</f>
        <v>#REF!</v>
      </c>
      <c r="P116" s="149" t="e">
        <f>#REF!/50</f>
        <v>#REF!</v>
      </c>
      <c r="Q116" s="148"/>
      <c r="R116" s="148" t="e">
        <f t="shared" si="60"/>
        <v>#REF!</v>
      </c>
      <c r="S116" s="148" t="e">
        <f t="shared" si="69"/>
        <v>#REF!</v>
      </c>
      <c r="T116" s="148" t="e">
        <f t="shared" si="69"/>
        <v>#REF!</v>
      </c>
      <c r="U116" s="148"/>
      <c r="V116" s="148"/>
      <c r="W116" s="148"/>
      <c r="X116" s="148"/>
      <c r="Y116" s="148"/>
      <c r="Z116" s="168">
        <f>ROUND(M116/150/10,0)</f>
        <v>4</v>
      </c>
      <c r="AA116" s="169">
        <v>3</v>
      </c>
      <c r="AB116" s="170">
        <f t="shared" si="61"/>
        <v>6</v>
      </c>
      <c r="AC116" s="149">
        <f t="shared" si="62"/>
        <v>3</v>
      </c>
      <c r="AD116" s="149">
        <f>AA116/4</f>
        <v>0.75</v>
      </c>
      <c r="AE116" s="322">
        <v>1</v>
      </c>
      <c r="AF116" s="286">
        <v>5</v>
      </c>
      <c r="AG116" s="284"/>
      <c r="AH116" s="148"/>
      <c r="AI116" s="148"/>
      <c r="AJ116" s="148"/>
      <c r="AK116" s="148"/>
      <c r="AL116" s="148"/>
      <c r="AM116" s="148"/>
      <c r="AN116" s="148"/>
      <c r="AO116" s="148"/>
      <c r="AP116" s="150"/>
      <c r="AQ116" s="154"/>
    </row>
    <row r="117" spans="1:43" ht="17.25" thickTop="1" thickBot="1" x14ac:dyDescent="0.3">
      <c r="A117" s="138" t="s">
        <v>26</v>
      </c>
      <c r="B117" s="153" t="s">
        <v>230</v>
      </c>
      <c r="C117" s="140">
        <v>40327</v>
      </c>
      <c r="D117" s="141">
        <v>0.33999999999999997</v>
      </c>
      <c r="E117" s="141">
        <v>0.65999999999999992</v>
      </c>
      <c r="F117" s="141">
        <v>0</v>
      </c>
      <c r="G117" s="142">
        <f t="shared" si="56"/>
        <v>13711.179999999998</v>
      </c>
      <c r="H117" s="142">
        <f t="shared" si="57"/>
        <v>26615.819999999996</v>
      </c>
      <c r="I117" s="142">
        <f t="shared" si="58"/>
        <v>0</v>
      </c>
      <c r="J117" s="143">
        <f t="shared" ref="J117:J129" si="79">G117*41.7%</f>
        <v>5717.5620600000002</v>
      </c>
      <c r="K117" s="143">
        <f t="shared" ref="K117:K129" si="80">H117*41.7%</f>
        <v>11098.79694</v>
      </c>
      <c r="L117" s="143">
        <f t="shared" ref="L117:L129" si="81">I117*41.7%</f>
        <v>0</v>
      </c>
      <c r="M117" s="145">
        <f t="shared" ref="M117:M138" si="82">SUM(J117:L117)</f>
        <v>16816.359</v>
      </c>
      <c r="N117" s="167" t="e">
        <f>#REF!/100</f>
        <v>#REF!</v>
      </c>
      <c r="O117" s="149" t="e">
        <f>#REF!/100</f>
        <v>#REF!</v>
      </c>
      <c r="P117" s="149" t="e">
        <f>#REF!/50</f>
        <v>#REF!</v>
      </c>
      <c r="Q117" s="148"/>
      <c r="R117" s="148" t="e">
        <f t="shared" si="60"/>
        <v>#REF!</v>
      </c>
      <c r="S117" s="148" t="e">
        <f t="shared" ref="S117:T133" si="83">ROUND(IF(R117&lt;=15,R117,15),0)</f>
        <v>#REF!</v>
      </c>
      <c r="T117" s="148" t="e">
        <f t="shared" si="83"/>
        <v>#REF!</v>
      </c>
      <c r="U117" s="148"/>
      <c r="V117" s="148"/>
      <c r="W117" s="148"/>
      <c r="X117" s="148"/>
      <c r="Y117" s="148"/>
      <c r="Z117" s="168">
        <f t="shared" ref="Z117:Z129" si="84">ROUND(M117/150/10,0)</f>
        <v>11</v>
      </c>
      <c r="AA117" s="169">
        <v>10</v>
      </c>
      <c r="AB117" s="170">
        <f t="shared" si="61"/>
        <v>20</v>
      </c>
      <c r="AC117" s="149">
        <f t="shared" si="62"/>
        <v>10</v>
      </c>
      <c r="AD117" s="149">
        <f t="shared" ref="AD117:AD129" si="85">AA117/4</f>
        <v>2.5</v>
      </c>
      <c r="AE117" s="322">
        <v>2</v>
      </c>
      <c r="AF117" s="286"/>
      <c r="AG117" s="284"/>
      <c r="AH117" s="148"/>
      <c r="AI117" s="148"/>
      <c r="AJ117" s="148"/>
      <c r="AK117" s="148"/>
      <c r="AL117" s="148"/>
      <c r="AM117" s="148"/>
      <c r="AN117" s="148"/>
      <c r="AO117" s="148"/>
      <c r="AP117" s="150"/>
      <c r="AQ117" s="154"/>
    </row>
    <row r="118" spans="1:43" ht="17.25" thickTop="1" thickBot="1" x14ac:dyDescent="0.3">
      <c r="A118" s="138" t="s">
        <v>26</v>
      </c>
      <c r="B118" s="153" t="s">
        <v>231</v>
      </c>
      <c r="C118" s="140">
        <v>89675</v>
      </c>
      <c r="D118" s="141">
        <v>0.33999999999999997</v>
      </c>
      <c r="E118" s="141">
        <v>0.65999999999999992</v>
      </c>
      <c r="F118" s="141">
        <v>0</v>
      </c>
      <c r="G118" s="142">
        <f t="shared" si="56"/>
        <v>30489.499999999996</v>
      </c>
      <c r="H118" s="142">
        <f t="shared" si="57"/>
        <v>59185.499999999993</v>
      </c>
      <c r="I118" s="142">
        <f t="shared" si="58"/>
        <v>0</v>
      </c>
      <c r="J118" s="143">
        <f t="shared" si="79"/>
        <v>12714.121499999999</v>
      </c>
      <c r="K118" s="143">
        <f t="shared" si="80"/>
        <v>24680.353499999997</v>
      </c>
      <c r="L118" s="143">
        <f t="shared" si="81"/>
        <v>0</v>
      </c>
      <c r="M118" s="145">
        <f t="shared" si="82"/>
        <v>37394.474999999999</v>
      </c>
      <c r="N118" s="167" t="e">
        <f>#REF!/100</f>
        <v>#REF!</v>
      </c>
      <c r="O118" s="149" t="e">
        <f>#REF!/100</f>
        <v>#REF!</v>
      </c>
      <c r="P118" s="149" t="e">
        <f>#REF!/50</f>
        <v>#REF!</v>
      </c>
      <c r="Q118" s="148"/>
      <c r="R118" s="148" t="e">
        <f t="shared" si="60"/>
        <v>#REF!</v>
      </c>
      <c r="S118" s="148" t="e">
        <f t="shared" si="83"/>
        <v>#REF!</v>
      </c>
      <c r="T118" s="148" t="e">
        <f t="shared" si="83"/>
        <v>#REF!</v>
      </c>
      <c r="U118" s="148"/>
      <c r="V118" s="148"/>
      <c r="W118" s="148"/>
      <c r="X118" s="148"/>
      <c r="Y118" s="148"/>
      <c r="Z118" s="168">
        <f t="shared" si="84"/>
        <v>25</v>
      </c>
      <c r="AA118" s="169">
        <v>20</v>
      </c>
      <c r="AB118" s="170">
        <f t="shared" si="61"/>
        <v>40</v>
      </c>
      <c r="AC118" s="149">
        <f t="shared" si="62"/>
        <v>20</v>
      </c>
      <c r="AD118" s="149">
        <f t="shared" si="85"/>
        <v>5</v>
      </c>
      <c r="AE118" s="322">
        <v>4</v>
      </c>
      <c r="AF118" s="286"/>
      <c r="AG118" s="284"/>
      <c r="AH118" s="148"/>
      <c r="AI118" s="148"/>
      <c r="AJ118" s="148"/>
      <c r="AK118" s="148"/>
      <c r="AL118" s="148"/>
      <c r="AM118" s="148"/>
      <c r="AN118" s="148"/>
      <c r="AO118" s="148"/>
      <c r="AP118" s="150"/>
      <c r="AQ118" s="154"/>
    </row>
    <row r="119" spans="1:43" ht="17.25" thickTop="1" thickBot="1" x14ac:dyDescent="0.3">
      <c r="A119" s="138" t="s">
        <v>26</v>
      </c>
      <c r="B119" s="153" t="s">
        <v>232</v>
      </c>
      <c r="C119" s="140">
        <v>58899</v>
      </c>
      <c r="D119" s="141">
        <v>0.33999999999999997</v>
      </c>
      <c r="E119" s="141">
        <v>0.65999999999999992</v>
      </c>
      <c r="F119" s="141">
        <v>0</v>
      </c>
      <c r="G119" s="142">
        <f t="shared" si="56"/>
        <v>20025.66</v>
      </c>
      <c r="H119" s="142">
        <f t="shared" si="57"/>
        <v>38873.339999999997</v>
      </c>
      <c r="I119" s="142">
        <f t="shared" si="58"/>
        <v>0</v>
      </c>
      <c r="J119" s="143">
        <f t="shared" si="79"/>
        <v>8350.7002200000006</v>
      </c>
      <c r="K119" s="143">
        <f t="shared" si="80"/>
        <v>16210.182779999999</v>
      </c>
      <c r="L119" s="143">
        <f t="shared" si="81"/>
        <v>0</v>
      </c>
      <c r="M119" s="145">
        <f t="shared" si="82"/>
        <v>24560.883000000002</v>
      </c>
      <c r="N119" s="167" t="e">
        <f>#REF!/100</f>
        <v>#REF!</v>
      </c>
      <c r="O119" s="149" t="e">
        <f>#REF!/100</f>
        <v>#REF!</v>
      </c>
      <c r="P119" s="149" t="e">
        <f>#REF!/50</f>
        <v>#REF!</v>
      </c>
      <c r="Q119" s="148"/>
      <c r="R119" s="148" t="e">
        <f t="shared" si="60"/>
        <v>#REF!</v>
      </c>
      <c r="S119" s="148" t="e">
        <f t="shared" si="83"/>
        <v>#REF!</v>
      </c>
      <c r="T119" s="148" t="e">
        <f t="shared" si="83"/>
        <v>#REF!</v>
      </c>
      <c r="U119" s="148"/>
      <c r="V119" s="148"/>
      <c r="W119" s="148"/>
      <c r="X119" s="148"/>
      <c r="Y119" s="148"/>
      <c r="Z119" s="168">
        <f t="shared" si="84"/>
        <v>16</v>
      </c>
      <c r="AA119" s="169">
        <v>14</v>
      </c>
      <c r="AB119" s="170">
        <f t="shared" si="61"/>
        <v>28</v>
      </c>
      <c r="AC119" s="149">
        <f t="shared" si="62"/>
        <v>14</v>
      </c>
      <c r="AD119" s="149">
        <f t="shared" si="85"/>
        <v>3.5</v>
      </c>
      <c r="AE119" s="322">
        <v>3</v>
      </c>
      <c r="AF119" s="286"/>
      <c r="AG119" s="284"/>
      <c r="AH119" s="148"/>
      <c r="AI119" s="148"/>
      <c r="AJ119" s="148"/>
      <c r="AK119" s="148"/>
      <c r="AL119" s="148"/>
      <c r="AM119" s="148"/>
      <c r="AN119" s="148"/>
      <c r="AO119" s="148"/>
      <c r="AP119" s="150"/>
      <c r="AQ119" s="154"/>
    </row>
    <row r="120" spans="1:43" ht="17.25" thickTop="1" thickBot="1" x14ac:dyDescent="0.3">
      <c r="A120" s="138" t="s">
        <v>26</v>
      </c>
      <c r="B120" s="153" t="s">
        <v>233</v>
      </c>
      <c r="C120" s="140">
        <v>22286</v>
      </c>
      <c r="D120" s="141">
        <v>0.33999999999999997</v>
      </c>
      <c r="E120" s="141">
        <v>0.65999999999999992</v>
      </c>
      <c r="F120" s="141">
        <v>0</v>
      </c>
      <c r="G120" s="142">
        <f t="shared" si="56"/>
        <v>7577.2399999999989</v>
      </c>
      <c r="H120" s="142">
        <f t="shared" si="57"/>
        <v>14708.759999999998</v>
      </c>
      <c r="I120" s="142">
        <f t="shared" si="58"/>
        <v>0</v>
      </c>
      <c r="J120" s="143">
        <f t="shared" si="79"/>
        <v>3159.7090799999996</v>
      </c>
      <c r="K120" s="143">
        <f t="shared" si="80"/>
        <v>6133.5529200000001</v>
      </c>
      <c r="L120" s="143">
        <f t="shared" si="81"/>
        <v>0</v>
      </c>
      <c r="M120" s="145">
        <f t="shared" si="82"/>
        <v>9293.2619999999988</v>
      </c>
      <c r="N120" s="167" t="e">
        <f>#REF!/100</f>
        <v>#REF!</v>
      </c>
      <c r="O120" s="149" t="e">
        <f>#REF!/100</f>
        <v>#REF!</v>
      </c>
      <c r="P120" s="149" t="e">
        <f>#REF!/50</f>
        <v>#REF!</v>
      </c>
      <c r="Q120" s="148"/>
      <c r="R120" s="148" t="e">
        <f t="shared" si="60"/>
        <v>#REF!</v>
      </c>
      <c r="S120" s="148" t="e">
        <f t="shared" si="83"/>
        <v>#REF!</v>
      </c>
      <c r="T120" s="148" t="e">
        <f t="shared" si="83"/>
        <v>#REF!</v>
      </c>
      <c r="U120" s="148"/>
      <c r="V120" s="148"/>
      <c r="W120" s="148"/>
      <c r="X120" s="148"/>
      <c r="Y120" s="148"/>
      <c r="Z120" s="168">
        <f t="shared" si="84"/>
        <v>6</v>
      </c>
      <c r="AA120" s="169">
        <v>4</v>
      </c>
      <c r="AB120" s="170">
        <f t="shared" si="61"/>
        <v>8</v>
      </c>
      <c r="AC120" s="149">
        <f t="shared" si="62"/>
        <v>4</v>
      </c>
      <c r="AD120" s="149">
        <f t="shared" si="85"/>
        <v>1</v>
      </c>
      <c r="AE120" s="322">
        <v>1</v>
      </c>
      <c r="AF120" s="286"/>
      <c r="AG120" s="284"/>
      <c r="AH120" s="148"/>
      <c r="AI120" s="148"/>
      <c r="AJ120" s="148"/>
      <c r="AK120" s="148"/>
      <c r="AL120" s="148"/>
      <c r="AM120" s="148"/>
      <c r="AN120" s="148"/>
      <c r="AO120" s="148"/>
      <c r="AP120" s="150"/>
      <c r="AQ120" s="154"/>
    </row>
    <row r="121" spans="1:43" ht="17.25" thickTop="1" thickBot="1" x14ac:dyDescent="0.3">
      <c r="A121" s="138" t="s">
        <v>26</v>
      </c>
      <c r="B121" s="153" t="s">
        <v>234</v>
      </c>
      <c r="C121" s="140">
        <v>19633</v>
      </c>
      <c r="D121" s="141">
        <v>0.33999999999999997</v>
      </c>
      <c r="E121" s="141">
        <v>0.65999999999999992</v>
      </c>
      <c r="F121" s="141">
        <v>0</v>
      </c>
      <c r="G121" s="142">
        <f t="shared" si="56"/>
        <v>6675.2199999999993</v>
      </c>
      <c r="H121" s="142">
        <f t="shared" si="57"/>
        <v>12957.779999999999</v>
      </c>
      <c r="I121" s="142">
        <f t="shared" si="58"/>
        <v>0</v>
      </c>
      <c r="J121" s="143">
        <f t="shared" si="79"/>
        <v>2783.5667399999998</v>
      </c>
      <c r="K121" s="143">
        <f t="shared" si="80"/>
        <v>5403.39426</v>
      </c>
      <c r="L121" s="143">
        <f t="shared" si="81"/>
        <v>0</v>
      </c>
      <c r="M121" s="145">
        <f t="shared" si="82"/>
        <v>8186.9609999999993</v>
      </c>
      <c r="N121" s="167" t="e">
        <f>#REF!/100</f>
        <v>#REF!</v>
      </c>
      <c r="O121" s="149" t="e">
        <f>#REF!/100</f>
        <v>#REF!</v>
      </c>
      <c r="P121" s="149" t="e">
        <f>#REF!/50</f>
        <v>#REF!</v>
      </c>
      <c r="Q121" s="148"/>
      <c r="R121" s="148" t="e">
        <f t="shared" si="60"/>
        <v>#REF!</v>
      </c>
      <c r="S121" s="148" t="e">
        <f t="shared" si="83"/>
        <v>#REF!</v>
      </c>
      <c r="T121" s="148" t="e">
        <f t="shared" si="83"/>
        <v>#REF!</v>
      </c>
      <c r="U121" s="148"/>
      <c r="V121" s="148"/>
      <c r="W121" s="148"/>
      <c r="X121" s="148"/>
      <c r="Y121" s="148"/>
      <c r="Z121" s="168">
        <f t="shared" si="84"/>
        <v>5</v>
      </c>
      <c r="AA121" s="169">
        <v>4</v>
      </c>
      <c r="AB121" s="170">
        <f t="shared" si="61"/>
        <v>8</v>
      </c>
      <c r="AC121" s="149">
        <f t="shared" si="62"/>
        <v>4</v>
      </c>
      <c r="AD121" s="149">
        <f t="shared" si="85"/>
        <v>1</v>
      </c>
      <c r="AE121" s="322">
        <v>1</v>
      </c>
      <c r="AF121" s="286"/>
      <c r="AG121" s="284"/>
      <c r="AH121" s="148"/>
      <c r="AI121" s="148"/>
      <c r="AJ121" s="148"/>
      <c r="AK121" s="148"/>
      <c r="AL121" s="148"/>
      <c r="AM121" s="148"/>
      <c r="AN121" s="148"/>
      <c r="AO121" s="148"/>
      <c r="AP121" s="150"/>
      <c r="AQ121" s="154"/>
    </row>
    <row r="122" spans="1:43" ht="17.25" thickTop="1" thickBot="1" x14ac:dyDescent="0.3">
      <c r="A122" s="138" t="s">
        <v>26</v>
      </c>
      <c r="B122" s="153" t="s">
        <v>235</v>
      </c>
      <c r="C122" s="140">
        <v>59960</v>
      </c>
      <c r="D122" s="141">
        <v>0.33999999999999997</v>
      </c>
      <c r="E122" s="141">
        <v>0.65999999999999992</v>
      </c>
      <c r="F122" s="141">
        <v>0</v>
      </c>
      <c r="G122" s="142">
        <f t="shared" si="56"/>
        <v>20386.399999999998</v>
      </c>
      <c r="H122" s="142">
        <f t="shared" si="57"/>
        <v>39573.599999999999</v>
      </c>
      <c r="I122" s="142">
        <f t="shared" si="58"/>
        <v>0</v>
      </c>
      <c r="J122" s="143">
        <f t="shared" si="79"/>
        <v>8501.1288000000004</v>
      </c>
      <c r="K122" s="143">
        <f t="shared" si="80"/>
        <v>16502.191200000001</v>
      </c>
      <c r="L122" s="143">
        <f t="shared" si="81"/>
        <v>0</v>
      </c>
      <c r="M122" s="145">
        <f t="shared" si="82"/>
        <v>25003.32</v>
      </c>
      <c r="N122" s="167" t="e">
        <f>#REF!/100</f>
        <v>#REF!</v>
      </c>
      <c r="O122" s="149" t="e">
        <f>#REF!/100</f>
        <v>#REF!</v>
      </c>
      <c r="P122" s="149" t="e">
        <f>#REF!/50</f>
        <v>#REF!</v>
      </c>
      <c r="Q122" s="148"/>
      <c r="R122" s="148" t="e">
        <f t="shared" si="60"/>
        <v>#REF!</v>
      </c>
      <c r="S122" s="148" t="e">
        <f t="shared" si="83"/>
        <v>#REF!</v>
      </c>
      <c r="T122" s="148" t="e">
        <f t="shared" si="83"/>
        <v>#REF!</v>
      </c>
      <c r="U122" s="148"/>
      <c r="V122" s="148"/>
      <c r="W122" s="148"/>
      <c r="X122" s="148"/>
      <c r="Y122" s="148"/>
      <c r="Z122" s="168">
        <f t="shared" si="84"/>
        <v>17</v>
      </c>
      <c r="AA122" s="169">
        <v>15</v>
      </c>
      <c r="AB122" s="170">
        <f t="shared" si="61"/>
        <v>30</v>
      </c>
      <c r="AC122" s="149">
        <f t="shared" si="62"/>
        <v>15</v>
      </c>
      <c r="AD122" s="149">
        <f t="shared" si="85"/>
        <v>3.75</v>
      </c>
      <c r="AE122" s="322">
        <v>3</v>
      </c>
      <c r="AF122" s="286"/>
      <c r="AG122" s="284"/>
      <c r="AH122" s="148"/>
      <c r="AI122" s="148"/>
      <c r="AJ122" s="148"/>
      <c r="AK122" s="148"/>
      <c r="AL122" s="148"/>
      <c r="AM122" s="148"/>
      <c r="AN122" s="148"/>
      <c r="AO122" s="148"/>
      <c r="AP122" s="150"/>
      <c r="AQ122" s="154"/>
    </row>
    <row r="123" spans="1:43" ht="17.25" thickTop="1" thickBot="1" x14ac:dyDescent="0.3">
      <c r="A123" s="138" t="s">
        <v>26</v>
      </c>
      <c r="B123" s="153" t="s">
        <v>236</v>
      </c>
      <c r="C123" s="140">
        <v>32898</v>
      </c>
      <c r="D123" s="141">
        <v>0.33999999999999997</v>
      </c>
      <c r="E123" s="141">
        <v>0.65999999999999992</v>
      </c>
      <c r="F123" s="141">
        <v>0</v>
      </c>
      <c r="G123" s="142">
        <f t="shared" si="56"/>
        <v>11185.32</v>
      </c>
      <c r="H123" s="142">
        <f t="shared" si="57"/>
        <v>21712.679999999997</v>
      </c>
      <c r="I123" s="142">
        <f t="shared" si="58"/>
        <v>0</v>
      </c>
      <c r="J123" s="143">
        <f t="shared" si="79"/>
        <v>4664.27844</v>
      </c>
      <c r="K123" s="143">
        <f t="shared" si="80"/>
        <v>9054.1875600000003</v>
      </c>
      <c r="L123" s="143">
        <f t="shared" si="81"/>
        <v>0</v>
      </c>
      <c r="M123" s="145">
        <f t="shared" si="82"/>
        <v>13718.466</v>
      </c>
      <c r="N123" s="167" t="e">
        <f>#REF!/100</f>
        <v>#REF!</v>
      </c>
      <c r="O123" s="149" t="e">
        <f>#REF!/100</f>
        <v>#REF!</v>
      </c>
      <c r="P123" s="149" t="e">
        <f>#REF!/50</f>
        <v>#REF!</v>
      </c>
      <c r="Q123" s="148"/>
      <c r="R123" s="148" t="e">
        <f t="shared" si="60"/>
        <v>#REF!</v>
      </c>
      <c r="S123" s="148" t="e">
        <f t="shared" si="83"/>
        <v>#REF!</v>
      </c>
      <c r="T123" s="148" t="e">
        <f t="shared" si="83"/>
        <v>#REF!</v>
      </c>
      <c r="U123" s="148"/>
      <c r="V123" s="148"/>
      <c r="W123" s="148"/>
      <c r="X123" s="148"/>
      <c r="Y123" s="148"/>
      <c r="Z123" s="168">
        <f t="shared" si="84"/>
        <v>9</v>
      </c>
      <c r="AA123" s="169">
        <v>7</v>
      </c>
      <c r="AB123" s="170">
        <f t="shared" si="61"/>
        <v>14</v>
      </c>
      <c r="AC123" s="149">
        <f t="shared" si="62"/>
        <v>7</v>
      </c>
      <c r="AD123" s="149">
        <f t="shared" si="85"/>
        <v>1.75</v>
      </c>
      <c r="AE123" s="322">
        <v>2</v>
      </c>
      <c r="AF123" s="286"/>
      <c r="AG123" s="284"/>
      <c r="AH123" s="148"/>
      <c r="AI123" s="148"/>
      <c r="AJ123" s="148"/>
      <c r="AK123" s="148"/>
      <c r="AL123" s="148"/>
      <c r="AM123" s="148"/>
      <c r="AN123" s="148"/>
      <c r="AO123" s="148"/>
      <c r="AP123" s="150"/>
      <c r="AQ123" s="154"/>
    </row>
    <row r="124" spans="1:43" ht="17.25" thickTop="1" thickBot="1" x14ac:dyDescent="0.3">
      <c r="A124" s="138" t="s">
        <v>26</v>
      </c>
      <c r="B124" s="153" t="s">
        <v>237</v>
      </c>
      <c r="C124" s="140">
        <v>50409</v>
      </c>
      <c r="D124" s="141">
        <v>0.33999999999999997</v>
      </c>
      <c r="E124" s="141">
        <v>0.65999999999999992</v>
      </c>
      <c r="F124" s="141">
        <v>0</v>
      </c>
      <c r="G124" s="142">
        <f t="shared" si="56"/>
        <v>17139.059999999998</v>
      </c>
      <c r="H124" s="142">
        <f t="shared" si="57"/>
        <v>33269.939999999995</v>
      </c>
      <c r="I124" s="142">
        <f t="shared" si="58"/>
        <v>0</v>
      </c>
      <c r="J124" s="143">
        <f t="shared" si="79"/>
        <v>7146.9880199999998</v>
      </c>
      <c r="K124" s="143">
        <f t="shared" si="80"/>
        <v>13873.564979999999</v>
      </c>
      <c r="L124" s="143">
        <f t="shared" si="81"/>
        <v>0</v>
      </c>
      <c r="M124" s="145">
        <f t="shared" si="82"/>
        <v>21020.553</v>
      </c>
      <c r="N124" s="167" t="e">
        <f>#REF!/100</f>
        <v>#REF!</v>
      </c>
      <c r="O124" s="149" t="e">
        <f>#REF!/100</f>
        <v>#REF!</v>
      </c>
      <c r="P124" s="149" t="e">
        <f>#REF!/50</f>
        <v>#REF!</v>
      </c>
      <c r="Q124" s="148"/>
      <c r="R124" s="148" t="e">
        <f t="shared" si="60"/>
        <v>#REF!</v>
      </c>
      <c r="S124" s="148" t="e">
        <f t="shared" si="83"/>
        <v>#REF!</v>
      </c>
      <c r="T124" s="148" t="e">
        <f t="shared" si="83"/>
        <v>#REF!</v>
      </c>
      <c r="U124" s="148"/>
      <c r="V124" s="148"/>
      <c r="W124" s="148"/>
      <c r="X124" s="148"/>
      <c r="Y124" s="148"/>
      <c r="Z124" s="168">
        <f t="shared" si="84"/>
        <v>14</v>
      </c>
      <c r="AA124" s="169">
        <v>10</v>
      </c>
      <c r="AB124" s="170">
        <f t="shared" si="61"/>
        <v>20</v>
      </c>
      <c r="AC124" s="149">
        <f t="shared" si="62"/>
        <v>10</v>
      </c>
      <c r="AD124" s="149">
        <f t="shared" si="85"/>
        <v>2.5</v>
      </c>
      <c r="AE124" s="322">
        <v>3</v>
      </c>
      <c r="AF124" s="286"/>
      <c r="AG124" s="284"/>
      <c r="AH124" s="148"/>
      <c r="AI124" s="148"/>
      <c r="AJ124" s="148"/>
      <c r="AK124" s="148"/>
      <c r="AL124" s="148"/>
      <c r="AM124" s="148"/>
      <c r="AN124" s="148"/>
      <c r="AO124" s="148"/>
      <c r="AP124" s="150"/>
      <c r="AQ124" s="154"/>
    </row>
    <row r="125" spans="1:43" ht="17.25" thickTop="1" thickBot="1" x14ac:dyDescent="0.3">
      <c r="A125" s="138" t="s">
        <v>26</v>
      </c>
      <c r="B125" s="153" t="s">
        <v>238</v>
      </c>
      <c r="C125" s="140">
        <v>19102</v>
      </c>
      <c r="D125" s="141">
        <v>0.33999999999999997</v>
      </c>
      <c r="E125" s="141">
        <v>0.65999999999999992</v>
      </c>
      <c r="F125" s="141">
        <v>0</v>
      </c>
      <c r="G125" s="142">
        <f t="shared" si="56"/>
        <v>6494.6799999999994</v>
      </c>
      <c r="H125" s="142">
        <f t="shared" si="57"/>
        <v>12607.319999999998</v>
      </c>
      <c r="I125" s="142">
        <f t="shared" si="58"/>
        <v>0</v>
      </c>
      <c r="J125" s="143">
        <f t="shared" si="79"/>
        <v>2708.2815599999999</v>
      </c>
      <c r="K125" s="143">
        <f t="shared" si="80"/>
        <v>5257.2524399999993</v>
      </c>
      <c r="L125" s="143">
        <f t="shared" si="81"/>
        <v>0</v>
      </c>
      <c r="M125" s="145">
        <f t="shared" si="82"/>
        <v>7965.5339999999997</v>
      </c>
      <c r="N125" s="167" t="e">
        <f>#REF!/100</f>
        <v>#REF!</v>
      </c>
      <c r="O125" s="149" t="e">
        <f>#REF!/100</f>
        <v>#REF!</v>
      </c>
      <c r="P125" s="149" t="e">
        <f>#REF!/50</f>
        <v>#REF!</v>
      </c>
      <c r="Q125" s="148"/>
      <c r="R125" s="148" t="e">
        <f t="shared" si="60"/>
        <v>#REF!</v>
      </c>
      <c r="S125" s="148" t="e">
        <f t="shared" si="83"/>
        <v>#REF!</v>
      </c>
      <c r="T125" s="148" t="e">
        <f t="shared" si="83"/>
        <v>#REF!</v>
      </c>
      <c r="U125" s="148"/>
      <c r="V125" s="148"/>
      <c r="W125" s="148"/>
      <c r="X125" s="148"/>
      <c r="Y125" s="148"/>
      <c r="Z125" s="168">
        <f t="shared" si="84"/>
        <v>5</v>
      </c>
      <c r="AA125" s="169">
        <v>5</v>
      </c>
      <c r="AB125" s="170">
        <f t="shared" si="61"/>
        <v>10</v>
      </c>
      <c r="AC125" s="149">
        <f t="shared" si="62"/>
        <v>5</v>
      </c>
      <c r="AD125" s="149">
        <f t="shared" si="85"/>
        <v>1.25</v>
      </c>
      <c r="AE125" s="322">
        <v>1</v>
      </c>
      <c r="AF125" s="286"/>
      <c r="AG125" s="284"/>
      <c r="AH125" s="148"/>
      <c r="AI125" s="148"/>
      <c r="AJ125" s="148"/>
      <c r="AK125" s="148"/>
      <c r="AL125" s="148"/>
      <c r="AM125" s="148"/>
      <c r="AN125" s="148"/>
      <c r="AO125" s="148"/>
      <c r="AP125" s="150"/>
      <c r="AQ125" s="154"/>
    </row>
    <row r="126" spans="1:43" ht="17.25" thickTop="1" thickBot="1" x14ac:dyDescent="0.3">
      <c r="A126" s="138" t="s">
        <v>26</v>
      </c>
      <c r="B126" s="153" t="s">
        <v>239</v>
      </c>
      <c r="C126" s="140">
        <v>36082</v>
      </c>
      <c r="D126" s="141">
        <v>0.33999999999999997</v>
      </c>
      <c r="E126" s="141">
        <v>0.65999999999999992</v>
      </c>
      <c r="F126" s="141">
        <v>0</v>
      </c>
      <c r="G126" s="142">
        <f t="shared" si="56"/>
        <v>12267.88</v>
      </c>
      <c r="H126" s="142">
        <f t="shared" si="57"/>
        <v>23814.119999999995</v>
      </c>
      <c r="I126" s="142">
        <f t="shared" si="58"/>
        <v>0</v>
      </c>
      <c r="J126" s="143">
        <f t="shared" si="79"/>
        <v>5115.7059600000002</v>
      </c>
      <c r="K126" s="143">
        <f t="shared" si="80"/>
        <v>9930.4880399999984</v>
      </c>
      <c r="L126" s="143">
        <f t="shared" si="81"/>
        <v>0</v>
      </c>
      <c r="M126" s="145">
        <f t="shared" si="82"/>
        <v>15046.194</v>
      </c>
      <c r="N126" s="167" t="e">
        <f>#REF!/100</f>
        <v>#REF!</v>
      </c>
      <c r="O126" s="149" t="e">
        <f>#REF!/100</f>
        <v>#REF!</v>
      </c>
      <c r="P126" s="149" t="e">
        <f>#REF!/50</f>
        <v>#REF!</v>
      </c>
      <c r="Q126" s="148"/>
      <c r="R126" s="148" t="e">
        <f t="shared" si="60"/>
        <v>#REF!</v>
      </c>
      <c r="S126" s="148" t="e">
        <f t="shared" si="83"/>
        <v>#REF!</v>
      </c>
      <c r="T126" s="148" t="e">
        <f t="shared" si="83"/>
        <v>#REF!</v>
      </c>
      <c r="U126" s="148"/>
      <c r="V126" s="148"/>
      <c r="W126" s="148"/>
      <c r="X126" s="148"/>
      <c r="Y126" s="148"/>
      <c r="Z126" s="168">
        <f t="shared" si="84"/>
        <v>10</v>
      </c>
      <c r="AA126" s="169">
        <v>10</v>
      </c>
      <c r="AB126" s="170">
        <f t="shared" si="61"/>
        <v>20</v>
      </c>
      <c r="AC126" s="149">
        <f t="shared" si="62"/>
        <v>10</v>
      </c>
      <c r="AD126" s="149">
        <f t="shared" si="85"/>
        <v>2.5</v>
      </c>
      <c r="AE126" s="322">
        <v>2</v>
      </c>
      <c r="AF126" s="286"/>
      <c r="AG126" s="284"/>
      <c r="AH126" s="148"/>
      <c r="AI126" s="148"/>
      <c r="AJ126" s="148"/>
      <c r="AK126" s="148"/>
      <c r="AL126" s="148"/>
      <c r="AM126" s="148"/>
      <c r="AN126" s="148"/>
      <c r="AO126" s="148"/>
      <c r="AP126" s="150"/>
      <c r="AQ126" s="154"/>
    </row>
    <row r="127" spans="1:43" ht="17.25" thickTop="1" thickBot="1" x14ac:dyDescent="0.3">
      <c r="A127" s="138" t="s">
        <v>26</v>
      </c>
      <c r="B127" s="153" t="s">
        <v>240</v>
      </c>
      <c r="C127" s="140">
        <v>37674</v>
      </c>
      <c r="D127" s="141">
        <v>0.33999999999999997</v>
      </c>
      <c r="E127" s="141">
        <v>0.65999999999999992</v>
      </c>
      <c r="F127" s="141">
        <v>0</v>
      </c>
      <c r="G127" s="142">
        <f t="shared" si="56"/>
        <v>12809.159999999998</v>
      </c>
      <c r="H127" s="142">
        <f t="shared" si="57"/>
        <v>24864.839999999997</v>
      </c>
      <c r="I127" s="142">
        <f t="shared" si="58"/>
        <v>0</v>
      </c>
      <c r="J127" s="143">
        <f t="shared" si="79"/>
        <v>5341.4197199999999</v>
      </c>
      <c r="K127" s="143">
        <f t="shared" si="80"/>
        <v>10368.638279999999</v>
      </c>
      <c r="L127" s="143">
        <f t="shared" si="81"/>
        <v>0</v>
      </c>
      <c r="M127" s="145">
        <f t="shared" si="82"/>
        <v>15710.057999999999</v>
      </c>
      <c r="N127" s="167" t="e">
        <f>#REF!/100</f>
        <v>#REF!</v>
      </c>
      <c r="O127" s="149" t="e">
        <f>#REF!/100</f>
        <v>#REF!</v>
      </c>
      <c r="P127" s="149" t="e">
        <f>#REF!/50</f>
        <v>#REF!</v>
      </c>
      <c r="Q127" s="148"/>
      <c r="R127" s="148" t="e">
        <f t="shared" si="60"/>
        <v>#REF!</v>
      </c>
      <c r="S127" s="148" t="e">
        <f t="shared" si="83"/>
        <v>#REF!</v>
      </c>
      <c r="T127" s="148" t="e">
        <f t="shared" si="83"/>
        <v>#REF!</v>
      </c>
      <c r="U127" s="148"/>
      <c r="V127" s="148"/>
      <c r="W127" s="148"/>
      <c r="X127" s="148"/>
      <c r="Y127" s="148"/>
      <c r="Z127" s="168">
        <f t="shared" si="84"/>
        <v>10</v>
      </c>
      <c r="AA127" s="169">
        <v>10</v>
      </c>
      <c r="AB127" s="170">
        <f t="shared" si="61"/>
        <v>20</v>
      </c>
      <c r="AC127" s="149">
        <f t="shared" si="62"/>
        <v>10</v>
      </c>
      <c r="AD127" s="149">
        <f t="shared" si="85"/>
        <v>2.5</v>
      </c>
      <c r="AE127" s="322">
        <v>2</v>
      </c>
      <c r="AF127" s="286"/>
      <c r="AG127" s="284"/>
      <c r="AH127" s="148"/>
      <c r="AI127" s="148"/>
      <c r="AJ127" s="148"/>
      <c r="AK127" s="148"/>
      <c r="AL127" s="148"/>
      <c r="AM127" s="148"/>
      <c r="AN127" s="148"/>
      <c r="AO127" s="148"/>
      <c r="AP127" s="150"/>
      <c r="AQ127" s="154"/>
    </row>
    <row r="128" spans="1:43" ht="17.25" thickTop="1" thickBot="1" x14ac:dyDescent="0.3">
      <c r="A128" s="138" t="s">
        <v>26</v>
      </c>
      <c r="B128" s="153" t="s">
        <v>241</v>
      </c>
      <c r="C128" s="140">
        <v>22286</v>
      </c>
      <c r="D128" s="141">
        <v>0.33999999999999997</v>
      </c>
      <c r="E128" s="141">
        <v>0.65999999999999992</v>
      </c>
      <c r="F128" s="141">
        <v>0</v>
      </c>
      <c r="G128" s="142">
        <f t="shared" si="56"/>
        <v>7577.2399999999989</v>
      </c>
      <c r="H128" s="142">
        <f t="shared" si="57"/>
        <v>14708.759999999998</v>
      </c>
      <c r="I128" s="142">
        <f t="shared" si="58"/>
        <v>0</v>
      </c>
      <c r="J128" s="143">
        <f t="shared" si="79"/>
        <v>3159.7090799999996</v>
      </c>
      <c r="K128" s="143">
        <f t="shared" si="80"/>
        <v>6133.5529200000001</v>
      </c>
      <c r="L128" s="143">
        <f t="shared" si="81"/>
        <v>0</v>
      </c>
      <c r="M128" s="145">
        <f t="shared" si="82"/>
        <v>9293.2619999999988</v>
      </c>
      <c r="N128" s="167" t="e">
        <f>#REF!/100</f>
        <v>#REF!</v>
      </c>
      <c r="O128" s="149" t="e">
        <f>#REF!/100</f>
        <v>#REF!</v>
      </c>
      <c r="P128" s="149" t="e">
        <f>#REF!/50</f>
        <v>#REF!</v>
      </c>
      <c r="Q128" s="148"/>
      <c r="R128" s="148" t="e">
        <f t="shared" si="60"/>
        <v>#REF!</v>
      </c>
      <c r="S128" s="148" t="e">
        <f t="shared" si="83"/>
        <v>#REF!</v>
      </c>
      <c r="T128" s="148" t="e">
        <f t="shared" si="83"/>
        <v>#REF!</v>
      </c>
      <c r="U128" s="148"/>
      <c r="V128" s="148"/>
      <c r="W128" s="148"/>
      <c r="X128" s="148"/>
      <c r="Y128" s="148"/>
      <c r="Z128" s="168">
        <f t="shared" si="84"/>
        <v>6</v>
      </c>
      <c r="AA128" s="169">
        <v>6</v>
      </c>
      <c r="AB128" s="170">
        <f t="shared" si="61"/>
        <v>12</v>
      </c>
      <c r="AC128" s="149">
        <f t="shared" si="62"/>
        <v>6</v>
      </c>
      <c r="AD128" s="149">
        <f t="shared" si="85"/>
        <v>1.5</v>
      </c>
      <c r="AE128" s="322">
        <v>1</v>
      </c>
      <c r="AF128" s="286"/>
      <c r="AG128" s="284"/>
      <c r="AH128" s="148"/>
      <c r="AI128" s="148"/>
      <c r="AJ128" s="148"/>
      <c r="AK128" s="148"/>
      <c r="AL128" s="148"/>
      <c r="AM128" s="148"/>
      <c r="AN128" s="148"/>
      <c r="AO128" s="148"/>
      <c r="AP128" s="150"/>
      <c r="AQ128" s="154"/>
    </row>
    <row r="129" spans="1:43" ht="17.25" thickTop="1" thickBot="1" x14ac:dyDescent="0.3">
      <c r="A129" s="138" t="s">
        <v>26</v>
      </c>
      <c r="B129" s="153" t="s">
        <v>242</v>
      </c>
      <c r="C129" s="140">
        <v>28122.86</v>
      </c>
      <c r="D129" s="141">
        <v>0.33999999999999997</v>
      </c>
      <c r="E129" s="141">
        <v>0.65999999999999992</v>
      </c>
      <c r="F129" s="141">
        <v>0</v>
      </c>
      <c r="G129" s="142">
        <f t="shared" si="56"/>
        <v>9561.7723999999998</v>
      </c>
      <c r="H129" s="142">
        <f t="shared" si="57"/>
        <v>18561.087599999999</v>
      </c>
      <c r="I129" s="142">
        <f t="shared" si="58"/>
        <v>0</v>
      </c>
      <c r="J129" s="143">
        <f t="shared" si="79"/>
        <v>3987.2590908000002</v>
      </c>
      <c r="K129" s="143">
        <f t="shared" si="80"/>
        <v>7739.9735292000005</v>
      </c>
      <c r="L129" s="143">
        <f t="shared" si="81"/>
        <v>0</v>
      </c>
      <c r="M129" s="145">
        <f t="shared" si="82"/>
        <v>11727.232620000001</v>
      </c>
      <c r="N129" s="167" t="e">
        <f>#REF!/100</f>
        <v>#REF!</v>
      </c>
      <c r="O129" s="149" t="e">
        <f>#REF!/100</f>
        <v>#REF!</v>
      </c>
      <c r="P129" s="149" t="e">
        <f>#REF!/50</f>
        <v>#REF!</v>
      </c>
      <c r="Q129" s="148"/>
      <c r="R129" s="148" t="e">
        <f t="shared" si="60"/>
        <v>#REF!</v>
      </c>
      <c r="S129" s="148" t="e">
        <f t="shared" si="83"/>
        <v>#REF!</v>
      </c>
      <c r="T129" s="148" t="e">
        <f t="shared" si="83"/>
        <v>#REF!</v>
      </c>
      <c r="U129" s="148"/>
      <c r="V129" s="148"/>
      <c r="W129" s="148"/>
      <c r="X129" s="148"/>
      <c r="Y129" s="148"/>
      <c r="Z129" s="168">
        <f t="shared" si="84"/>
        <v>8</v>
      </c>
      <c r="AA129" s="169">
        <v>8</v>
      </c>
      <c r="AB129" s="170">
        <f t="shared" si="61"/>
        <v>16</v>
      </c>
      <c r="AC129" s="149">
        <f t="shared" si="62"/>
        <v>8</v>
      </c>
      <c r="AD129" s="149">
        <f t="shared" si="85"/>
        <v>2</v>
      </c>
      <c r="AE129" s="322">
        <v>1</v>
      </c>
      <c r="AF129" s="286"/>
      <c r="AG129" s="284"/>
      <c r="AH129" s="148"/>
      <c r="AI129" s="148"/>
      <c r="AJ129" s="148"/>
      <c r="AK129" s="148"/>
      <c r="AL129" s="148"/>
      <c r="AM129" s="148"/>
      <c r="AN129" s="148"/>
      <c r="AO129" s="148"/>
      <c r="AP129" s="150"/>
      <c r="AQ129" s="154"/>
    </row>
    <row r="130" spans="1:43" ht="19.5" thickTop="1" thickBot="1" x14ac:dyDescent="0.3">
      <c r="A130" s="138"/>
      <c r="B130" s="153"/>
      <c r="C130" s="308">
        <f>SUM(C116:C129)</f>
        <v>530619.86</v>
      </c>
      <c r="D130" s="141"/>
      <c r="E130" s="141"/>
      <c r="F130" s="141"/>
      <c r="G130" s="308">
        <f>SUM(G116:G129)</f>
        <v>180410.75239999997</v>
      </c>
      <c r="H130" s="308">
        <f t="shared" ref="H130:AF130" si="86">SUM(H116:H129)</f>
        <v>350209.10759999999</v>
      </c>
      <c r="I130" s="308">
        <f t="shared" si="86"/>
        <v>0</v>
      </c>
      <c r="J130" s="308">
        <f t="shared" si="86"/>
        <v>75231.283750800008</v>
      </c>
      <c r="K130" s="308">
        <f t="shared" si="86"/>
        <v>146037.1978692</v>
      </c>
      <c r="L130" s="308">
        <f t="shared" si="86"/>
        <v>0</v>
      </c>
      <c r="M130" s="308">
        <f t="shared" si="86"/>
        <v>221268.48161999995</v>
      </c>
      <c r="N130" s="308" t="e">
        <f t="shared" si="86"/>
        <v>#REF!</v>
      </c>
      <c r="O130" s="308" t="e">
        <f t="shared" si="86"/>
        <v>#REF!</v>
      </c>
      <c r="P130" s="308" t="e">
        <f t="shared" si="86"/>
        <v>#REF!</v>
      </c>
      <c r="Q130" s="308">
        <f t="shared" si="86"/>
        <v>0</v>
      </c>
      <c r="R130" s="308" t="e">
        <f t="shared" si="86"/>
        <v>#REF!</v>
      </c>
      <c r="S130" s="308" t="e">
        <f t="shared" si="86"/>
        <v>#REF!</v>
      </c>
      <c r="T130" s="308" t="e">
        <f t="shared" si="86"/>
        <v>#REF!</v>
      </c>
      <c r="U130" s="308">
        <f t="shared" si="86"/>
        <v>0</v>
      </c>
      <c r="V130" s="308">
        <f t="shared" si="86"/>
        <v>0</v>
      </c>
      <c r="W130" s="308">
        <f t="shared" si="86"/>
        <v>0</v>
      </c>
      <c r="X130" s="308">
        <f t="shared" si="86"/>
        <v>0</v>
      </c>
      <c r="Y130" s="308">
        <f t="shared" si="86"/>
        <v>0</v>
      </c>
      <c r="Z130" s="308">
        <f t="shared" si="86"/>
        <v>146</v>
      </c>
      <c r="AA130" s="308">
        <f t="shared" si="86"/>
        <v>126</v>
      </c>
      <c r="AB130" s="308">
        <f t="shared" si="86"/>
        <v>252</v>
      </c>
      <c r="AC130" s="308">
        <f t="shared" si="86"/>
        <v>126</v>
      </c>
      <c r="AD130" s="308">
        <f t="shared" si="86"/>
        <v>31.5</v>
      </c>
      <c r="AE130" s="309">
        <f t="shared" si="86"/>
        <v>27</v>
      </c>
      <c r="AF130" s="310">
        <f t="shared" si="86"/>
        <v>5</v>
      </c>
      <c r="AG130" s="284"/>
      <c r="AH130" s="148"/>
      <c r="AI130" s="148"/>
      <c r="AJ130" s="148"/>
      <c r="AK130" s="148"/>
      <c r="AL130" s="148"/>
      <c r="AM130" s="148"/>
      <c r="AN130" s="148"/>
      <c r="AO130" s="148"/>
      <c r="AP130" s="150"/>
      <c r="AQ130" s="154"/>
    </row>
    <row r="131" spans="1:43" ht="17.25" thickTop="1" thickBot="1" x14ac:dyDescent="0.3">
      <c r="A131" s="138" t="s">
        <v>243</v>
      </c>
      <c r="B131" s="153" t="s">
        <v>244</v>
      </c>
      <c r="C131" s="140">
        <v>20138</v>
      </c>
      <c r="D131" s="141">
        <v>9.721651602300739E-2</v>
      </c>
      <c r="E131" s="141">
        <v>0.12181594083812654</v>
      </c>
      <c r="F131" s="141">
        <v>0.78096754313886607</v>
      </c>
      <c r="G131" s="142">
        <f t="shared" si="56"/>
        <v>1957.7461996713228</v>
      </c>
      <c r="H131" s="142">
        <f t="shared" si="57"/>
        <v>2453.1294165981922</v>
      </c>
      <c r="I131" s="142">
        <f t="shared" si="58"/>
        <v>15727.124383730485</v>
      </c>
      <c r="J131" s="143">
        <f>G131*41.7%</f>
        <v>816.38016526294166</v>
      </c>
      <c r="K131" s="143">
        <f t="shared" ref="K131:L131" si="87">H131*41.7%</f>
        <v>1022.9549667214462</v>
      </c>
      <c r="L131" s="143">
        <f t="shared" si="87"/>
        <v>6558.2108680156125</v>
      </c>
      <c r="M131" s="145">
        <f t="shared" si="82"/>
        <v>8397.5460000000003</v>
      </c>
      <c r="N131" s="149" t="e">
        <f>#REF!/100</f>
        <v>#REF!</v>
      </c>
      <c r="O131" s="149" t="e">
        <f>#REF!/100</f>
        <v>#REF!</v>
      </c>
      <c r="P131" s="149" t="e">
        <f>#REF!/50</f>
        <v>#REF!</v>
      </c>
      <c r="Q131" s="148"/>
      <c r="R131" s="148" t="e">
        <f t="shared" si="60"/>
        <v>#REF!</v>
      </c>
      <c r="S131" s="148" t="e">
        <f t="shared" si="83"/>
        <v>#REF!</v>
      </c>
      <c r="T131" s="148" t="e">
        <f t="shared" si="83"/>
        <v>#REF!</v>
      </c>
      <c r="U131" s="148"/>
      <c r="V131" s="148"/>
      <c r="W131" s="148"/>
      <c r="X131" s="148"/>
      <c r="Y131" s="148"/>
      <c r="Z131" s="150">
        <f>ROUND(M131/120/10,0)</f>
        <v>7</v>
      </c>
      <c r="AA131" s="154">
        <v>4</v>
      </c>
      <c r="AB131" s="174">
        <f t="shared" si="61"/>
        <v>8</v>
      </c>
      <c r="AC131" s="149">
        <f t="shared" si="62"/>
        <v>4</v>
      </c>
      <c r="AD131" s="149">
        <f t="shared" si="63"/>
        <v>1.3333333333333333</v>
      </c>
      <c r="AE131" s="323">
        <v>2</v>
      </c>
      <c r="AF131" s="286"/>
      <c r="AG131" s="284"/>
      <c r="AH131" s="148"/>
      <c r="AI131" s="148"/>
      <c r="AJ131" s="148"/>
      <c r="AK131" s="148"/>
      <c r="AL131" s="148"/>
      <c r="AM131" s="148"/>
      <c r="AN131" s="148"/>
      <c r="AO131" s="148"/>
      <c r="AP131" s="150"/>
      <c r="AQ131" s="154"/>
    </row>
    <row r="132" spans="1:43" ht="17.25" thickTop="1" thickBot="1" x14ac:dyDescent="0.3">
      <c r="A132" s="138" t="s">
        <v>243</v>
      </c>
      <c r="B132" s="153" t="s">
        <v>245</v>
      </c>
      <c r="C132" s="140">
        <v>13426</v>
      </c>
      <c r="D132" s="141">
        <v>0.50016520733520564</v>
      </c>
      <c r="E132" s="141">
        <v>0.39534115314719975</v>
      </c>
      <c r="F132" s="141">
        <v>0.10449363951759458</v>
      </c>
      <c r="G132" s="142">
        <f t="shared" si="56"/>
        <v>6715.2180736824712</v>
      </c>
      <c r="H132" s="142">
        <f t="shared" si="57"/>
        <v>5307.8503221543042</v>
      </c>
      <c r="I132" s="142">
        <f t="shared" si="58"/>
        <v>1402.9316041632248</v>
      </c>
      <c r="J132" s="143">
        <f t="shared" ref="J132:J138" si="88">G132*41.7%</f>
        <v>2800.2459367255906</v>
      </c>
      <c r="K132" s="143">
        <f t="shared" ref="K132:K138" si="89">H132*41.7%</f>
        <v>2213.3735843383452</v>
      </c>
      <c r="L132" s="143">
        <f t="shared" ref="L132:L138" si="90">I132*41.7%</f>
        <v>585.02247893606477</v>
      </c>
      <c r="M132" s="145">
        <f t="shared" si="82"/>
        <v>5598.6420000000007</v>
      </c>
      <c r="N132" s="149" t="e">
        <f>#REF!/100</f>
        <v>#REF!</v>
      </c>
      <c r="O132" s="149" t="e">
        <f>#REF!/100</f>
        <v>#REF!</v>
      </c>
      <c r="P132" s="149" t="e">
        <f>#REF!/50</f>
        <v>#REF!</v>
      </c>
      <c r="Q132" s="148"/>
      <c r="R132" s="148" t="e">
        <f t="shared" si="60"/>
        <v>#REF!</v>
      </c>
      <c r="S132" s="148" t="e">
        <f t="shared" si="83"/>
        <v>#REF!</v>
      </c>
      <c r="T132" s="148" t="e">
        <f t="shared" si="83"/>
        <v>#REF!</v>
      </c>
      <c r="U132" s="148"/>
      <c r="V132" s="148"/>
      <c r="W132" s="148"/>
      <c r="X132" s="148"/>
      <c r="Y132" s="148"/>
      <c r="Z132" s="150">
        <f t="shared" ref="Z132:Z138" si="91">ROUND(M132/120/10,0)</f>
        <v>5</v>
      </c>
      <c r="AA132" s="154">
        <v>4</v>
      </c>
      <c r="AB132" s="174">
        <f t="shared" si="61"/>
        <v>8</v>
      </c>
      <c r="AC132" s="149">
        <f t="shared" si="62"/>
        <v>4</v>
      </c>
      <c r="AD132" s="149">
        <f t="shared" si="63"/>
        <v>1.3333333333333333</v>
      </c>
      <c r="AE132" s="323">
        <v>1</v>
      </c>
      <c r="AF132" s="286"/>
      <c r="AG132" s="284"/>
      <c r="AH132" s="148"/>
      <c r="AI132" s="148"/>
      <c r="AJ132" s="148"/>
      <c r="AK132" s="148"/>
      <c r="AL132" s="148"/>
      <c r="AM132" s="148"/>
      <c r="AN132" s="148"/>
      <c r="AO132" s="148"/>
      <c r="AP132" s="150"/>
      <c r="AQ132" s="154"/>
    </row>
    <row r="133" spans="1:43" ht="17.25" thickTop="1" thickBot="1" x14ac:dyDescent="0.3">
      <c r="A133" s="138" t="s">
        <v>243</v>
      </c>
      <c r="B133" s="153" t="s">
        <v>246</v>
      </c>
      <c r="C133" s="140">
        <v>18796</v>
      </c>
      <c r="D133" s="141">
        <v>0.15800532287435215</v>
      </c>
      <c r="E133" s="141">
        <v>0.5348788345706682</v>
      </c>
      <c r="F133" s="141">
        <v>0.3071158425549797</v>
      </c>
      <c r="G133" s="142">
        <f t="shared" si="56"/>
        <v>2969.868048746323</v>
      </c>
      <c r="H133" s="142">
        <f t="shared" si="57"/>
        <v>10053.58257459028</v>
      </c>
      <c r="I133" s="142">
        <f t="shared" si="58"/>
        <v>5772.5493766633981</v>
      </c>
      <c r="J133" s="143">
        <f t="shared" si="88"/>
        <v>1238.4349763272169</v>
      </c>
      <c r="K133" s="143">
        <f t="shared" si="89"/>
        <v>4192.3439336041474</v>
      </c>
      <c r="L133" s="143">
        <f t="shared" si="90"/>
        <v>2407.1530900686371</v>
      </c>
      <c r="M133" s="145">
        <f t="shared" si="82"/>
        <v>7837.9320000000007</v>
      </c>
      <c r="N133" s="149" t="e">
        <f>#REF!/100</f>
        <v>#REF!</v>
      </c>
      <c r="O133" s="149" t="e">
        <f>#REF!/100</f>
        <v>#REF!</v>
      </c>
      <c r="P133" s="149" t="e">
        <f>#REF!/50</f>
        <v>#REF!</v>
      </c>
      <c r="Q133" s="148"/>
      <c r="R133" s="148" t="e">
        <f t="shared" si="60"/>
        <v>#REF!</v>
      </c>
      <c r="S133" s="148" t="e">
        <f t="shared" si="83"/>
        <v>#REF!</v>
      </c>
      <c r="T133" s="148" t="e">
        <f t="shared" si="83"/>
        <v>#REF!</v>
      </c>
      <c r="U133" s="148"/>
      <c r="V133" s="148"/>
      <c r="W133" s="148"/>
      <c r="X133" s="148"/>
      <c r="Y133" s="148"/>
      <c r="Z133" s="150">
        <f t="shared" si="91"/>
        <v>7</v>
      </c>
      <c r="AA133" s="154">
        <v>6</v>
      </c>
      <c r="AB133" s="174">
        <f t="shared" si="61"/>
        <v>12</v>
      </c>
      <c r="AC133" s="149">
        <f t="shared" si="62"/>
        <v>6</v>
      </c>
      <c r="AD133" s="149">
        <f t="shared" si="63"/>
        <v>2</v>
      </c>
      <c r="AE133" s="323">
        <v>2</v>
      </c>
      <c r="AF133" s="286"/>
      <c r="AG133" s="284"/>
      <c r="AH133" s="148"/>
      <c r="AI133" s="148"/>
      <c r="AJ133" s="148"/>
      <c r="AK133" s="148"/>
      <c r="AL133" s="148"/>
      <c r="AM133" s="148"/>
      <c r="AN133" s="148"/>
      <c r="AO133" s="148"/>
      <c r="AP133" s="150"/>
      <c r="AQ133" s="154"/>
    </row>
    <row r="134" spans="1:43" ht="17.25" thickTop="1" thickBot="1" x14ac:dyDescent="0.3">
      <c r="A134" s="138" t="s">
        <v>243</v>
      </c>
      <c r="B134" s="153" t="s">
        <v>247</v>
      </c>
      <c r="C134" s="140">
        <v>21482</v>
      </c>
      <c r="D134" s="141">
        <v>0.51181171127898351</v>
      </c>
      <c r="E134" s="141">
        <v>0.24514213353128683</v>
      </c>
      <c r="F134" s="141">
        <v>0.24304615518972972</v>
      </c>
      <c r="G134" s="142">
        <f t="shared" si="56"/>
        <v>10994.739181695124</v>
      </c>
      <c r="H134" s="142">
        <f t="shared" si="57"/>
        <v>5266.1433125191033</v>
      </c>
      <c r="I134" s="142">
        <f t="shared" si="58"/>
        <v>5221.1175057857736</v>
      </c>
      <c r="J134" s="143">
        <f t="shared" si="88"/>
        <v>4584.806238766867</v>
      </c>
      <c r="K134" s="143">
        <f t="shared" si="89"/>
        <v>2195.9817613204664</v>
      </c>
      <c r="L134" s="143">
        <f t="shared" si="90"/>
        <v>2177.2059999126677</v>
      </c>
      <c r="M134" s="145">
        <f t="shared" si="82"/>
        <v>8957.9940000000024</v>
      </c>
      <c r="N134" s="149" t="e">
        <f>#REF!/100</f>
        <v>#REF!</v>
      </c>
      <c r="O134" s="149" t="e">
        <f>#REF!/100</f>
        <v>#REF!</v>
      </c>
      <c r="P134" s="149" t="e">
        <f>#REF!/50</f>
        <v>#REF!</v>
      </c>
      <c r="Q134" s="148"/>
      <c r="R134" s="148" t="e">
        <f t="shared" si="60"/>
        <v>#REF!</v>
      </c>
      <c r="S134" s="148" t="e">
        <f t="shared" ref="S134:T138" si="92">ROUND(IF(R134&lt;=15,R134,15),0)</f>
        <v>#REF!</v>
      </c>
      <c r="T134" s="148" t="e">
        <f t="shared" si="92"/>
        <v>#REF!</v>
      </c>
      <c r="U134" s="148"/>
      <c r="V134" s="148"/>
      <c r="W134" s="148"/>
      <c r="X134" s="148"/>
      <c r="Y134" s="148"/>
      <c r="Z134" s="150">
        <f t="shared" si="91"/>
        <v>7</v>
      </c>
      <c r="AA134" s="154">
        <v>6</v>
      </c>
      <c r="AB134" s="174">
        <f t="shared" si="61"/>
        <v>12</v>
      </c>
      <c r="AC134" s="149">
        <f t="shared" si="62"/>
        <v>6</v>
      </c>
      <c r="AD134" s="149">
        <f t="shared" si="63"/>
        <v>2</v>
      </c>
      <c r="AE134" s="323">
        <v>2</v>
      </c>
      <c r="AF134" s="286">
        <v>3</v>
      </c>
      <c r="AG134" s="284"/>
      <c r="AH134" s="148"/>
      <c r="AI134" s="148"/>
      <c r="AJ134" s="148"/>
      <c r="AK134" s="148"/>
      <c r="AL134" s="148"/>
      <c r="AM134" s="148"/>
      <c r="AN134" s="148"/>
      <c r="AO134" s="148"/>
      <c r="AP134" s="150"/>
      <c r="AQ134" s="154"/>
    </row>
    <row r="135" spans="1:43" ht="17.25" thickTop="1" thickBot="1" x14ac:dyDescent="0.3">
      <c r="A135" s="138" t="s">
        <v>243</v>
      </c>
      <c r="B135" s="153" t="s">
        <v>248</v>
      </c>
      <c r="C135" s="140">
        <v>10740</v>
      </c>
      <c r="D135" s="141">
        <v>0.22831597382247212</v>
      </c>
      <c r="E135" s="141">
        <v>0.47368421052631576</v>
      </c>
      <c r="F135" s="141">
        <v>0.29799981565121209</v>
      </c>
      <c r="G135" s="142">
        <f t="shared" si="56"/>
        <v>2452.1135588533507</v>
      </c>
      <c r="H135" s="142">
        <f t="shared" si="57"/>
        <v>5087.3684210526317</v>
      </c>
      <c r="I135" s="142">
        <f t="shared" si="58"/>
        <v>3200.5180200940176</v>
      </c>
      <c r="J135" s="143">
        <f t="shared" si="88"/>
        <v>1022.5313540418473</v>
      </c>
      <c r="K135" s="143">
        <f t="shared" si="89"/>
        <v>2121.4326315789476</v>
      </c>
      <c r="L135" s="143">
        <f t="shared" si="90"/>
        <v>1334.6160143792056</v>
      </c>
      <c r="M135" s="145">
        <f t="shared" si="82"/>
        <v>4478.5800000000008</v>
      </c>
      <c r="N135" s="149" t="e">
        <f>#REF!/100</f>
        <v>#REF!</v>
      </c>
      <c r="O135" s="149" t="e">
        <f>#REF!/100</f>
        <v>#REF!</v>
      </c>
      <c r="P135" s="149" t="e">
        <f>#REF!/50</f>
        <v>#REF!</v>
      </c>
      <c r="Q135" s="148"/>
      <c r="R135" s="148" t="e">
        <f t="shared" si="60"/>
        <v>#REF!</v>
      </c>
      <c r="S135" s="148" t="e">
        <f t="shared" si="92"/>
        <v>#REF!</v>
      </c>
      <c r="T135" s="148" t="e">
        <f t="shared" si="92"/>
        <v>#REF!</v>
      </c>
      <c r="U135" s="148"/>
      <c r="V135" s="148"/>
      <c r="W135" s="148"/>
      <c r="X135" s="148"/>
      <c r="Y135" s="148"/>
      <c r="Z135" s="150">
        <f t="shared" si="91"/>
        <v>4</v>
      </c>
      <c r="AA135" s="154">
        <v>4</v>
      </c>
      <c r="AB135" s="174">
        <f t="shared" si="61"/>
        <v>8</v>
      </c>
      <c r="AC135" s="149">
        <f t="shared" si="62"/>
        <v>4</v>
      </c>
      <c r="AD135" s="149">
        <f t="shared" si="63"/>
        <v>1.3333333333333333</v>
      </c>
      <c r="AE135" s="323">
        <v>1</v>
      </c>
      <c r="AF135" s="286"/>
      <c r="AG135" s="284"/>
      <c r="AH135" s="148"/>
      <c r="AI135" s="148"/>
      <c r="AJ135" s="148"/>
      <c r="AK135" s="148"/>
      <c r="AL135" s="148"/>
      <c r="AM135" s="148"/>
      <c r="AN135" s="148"/>
      <c r="AO135" s="148"/>
      <c r="AP135" s="150"/>
      <c r="AQ135" s="154"/>
    </row>
    <row r="136" spans="1:43" ht="17.25" thickTop="1" thickBot="1" x14ac:dyDescent="0.3">
      <c r="A136" s="138" t="s">
        <v>243</v>
      </c>
      <c r="B136" s="153" t="s">
        <v>249</v>
      </c>
      <c r="C136" s="140">
        <v>26851</v>
      </c>
      <c r="D136" s="141">
        <v>0.54451405490066773</v>
      </c>
      <c r="E136" s="141">
        <v>0.41756656499876349</v>
      </c>
      <c r="F136" s="141">
        <v>3.7919380100568792E-2</v>
      </c>
      <c r="G136" s="142">
        <f t="shared" si="56"/>
        <v>14620.74688813783</v>
      </c>
      <c r="H136" s="142">
        <f t="shared" si="57"/>
        <v>11212.079836781799</v>
      </c>
      <c r="I136" s="142">
        <f t="shared" si="58"/>
        <v>1018.1732750803726</v>
      </c>
      <c r="J136" s="143">
        <f t="shared" si="88"/>
        <v>6096.8514523534759</v>
      </c>
      <c r="K136" s="143">
        <f t="shared" si="89"/>
        <v>4675.4372919380103</v>
      </c>
      <c r="L136" s="143">
        <f t="shared" si="90"/>
        <v>424.57825570851543</v>
      </c>
      <c r="M136" s="145">
        <f t="shared" si="82"/>
        <v>11196.867000000002</v>
      </c>
      <c r="N136" s="149" t="e">
        <f>#REF!/100</f>
        <v>#REF!</v>
      </c>
      <c r="O136" s="149" t="e">
        <f>#REF!/100</f>
        <v>#REF!</v>
      </c>
      <c r="P136" s="149" t="e">
        <f>#REF!/50</f>
        <v>#REF!</v>
      </c>
      <c r="Q136" s="148"/>
      <c r="R136" s="148" t="e">
        <f t="shared" si="60"/>
        <v>#REF!</v>
      </c>
      <c r="S136" s="148" t="e">
        <f t="shared" si="92"/>
        <v>#REF!</v>
      </c>
      <c r="T136" s="148" t="e">
        <f t="shared" si="92"/>
        <v>#REF!</v>
      </c>
      <c r="U136" s="148"/>
      <c r="V136" s="148"/>
      <c r="W136" s="148"/>
      <c r="X136" s="148"/>
      <c r="Y136" s="148"/>
      <c r="Z136" s="150">
        <f t="shared" si="91"/>
        <v>9</v>
      </c>
      <c r="AA136" s="154">
        <v>7</v>
      </c>
      <c r="AB136" s="174">
        <f t="shared" si="61"/>
        <v>14</v>
      </c>
      <c r="AC136" s="149">
        <f t="shared" si="62"/>
        <v>7</v>
      </c>
      <c r="AD136" s="149">
        <f t="shared" si="63"/>
        <v>2.3333333333333335</v>
      </c>
      <c r="AE136" s="323">
        <v>2</v>
      </c>
      <c r="AF136" s="286"/>
      <c r="AG136" s="284"/>
      <c r="AH136" s="148"/>
      <c r="AI136" s="148"/>
      <c r="AJ136" s="148"/>
      <c r="AK136" s="148"/>
      <c r="AL136" s="148"/>
      <c r="AM136" s="148"/>
      <c r="AN136" s="148"/>
      <c r="AO136" s="148"/>
      <c r="AP136" s="150"/>
      <c r="AQ136" s="154"/>
    </row>
    <row r="137" spans="1:43" ht="17.25" thickTop="1" thickBot="1" x14ac:dyDescent="0.3">
      <c r="A137" s="138" t="s">
        <v>243</v>
      </c>
      <c r="B137" s="153" t="s">
        <v>250</v>
      </c>
      <c r="C137" s="140">
        <v>8055</v>
      </c>
      <c r="D137" s="141">
        <v>0.38960521068722587</v>
      </c>
      <c r="E137" s="141">
        <v>0.61039478931277413</v>
      </c>
      <c r="F137" s="141">
        <v>0</v>
      </c>
      <c r="G137" s="142">
        <f t="shared" si="56"/>
        <v>3138.2699720856044</v>
      </c>
      <c r="H137" s="142">
        <f t="shared" si="57"/>
        <v>4916.7300279143956</v>
      </c>
      <c r="I137" s="142">
        <f t="shared" si="58"/>
        <v>0</v>
      </c>
      <c r="J137" s="143">
        <f t="shared" si="88"/>
        <v>1308.6585783596972</v>
      </c>
      <c r="K137" s="143">
        <f t="shared" si="89"/>
        <v>2050.2764216403029</v>
      </c>
      <c r="L137" s="143">
        <f t="shared" si="90"/>
        <v>0</v>
      </c>
      <c r="M137" s="145">
        <f t="shared" si="82"/>
        <v>3358.9350000000004</v>
      </c>
      <c r="N137" s="149" t="e">
        <f>#REF!/100</f>
        <v>#REF!</v>
      </c>
      <c r="O137" s="149" t="e">
        <f>#REF!/100</f>
        <v>#REF!</v>
      </c>
      <c r="P137" s="149" t="e">
        <f>#REF!/50</f>
        <v>#REF!</v>
      </c>
      <c r="Q137" s="148"/>
      <c r="R137" s="148" t="e">
        <f t="shared" si="60"/>
        <v>#REF!</v>
      </c>
      <c r="S137" s="148" t="e">
        <f t="shared" si="92"/>
        <v>#REF!</v>
      </c>
      <c r="T137" s="148" t="e">
        <f t="shared" si="92"/>
        <v>#REF!</v>
      </c>
      <c r="U137" s="148"/>
      <c r="V137" s="148"/>
      <c r="W137" s="148"/>
      <c r="X137" s="148"/>
      <c r="Y137" s="148"/>
      <c r="Z137" s="150">
        <f t="shared" si="91"/>
        <v>3</v>
      </c>
      <c r="AA137" s="154">
        <v>2</v>
      </c>
      <c r="AB137" s="174">
        <f t="shared" si="61"/>
        <v>4</v>
      </c>
      <c r="AC137" s="149">
        <f t="shared" si="62"/>
        <v>2</v>
      </c>
      <c r="AD137" s="149">
        <f t="shared" si="63"/>
        <v>0.66666666666666663</v>
      </c>
      <c r="AE137" s="323">
        <v>1</v>
      </c>
      <c r="AF137" s="286"/>
      <c r="AG137" s="284"/>
      <c r="AH137" s="148"/>
      <c r="AI137" s="148"/>
      <c r="AJ137" s="148"/>
      <c r="AK137" s="148"/>
      <c r="AL137" s="148"/>
      <c r="AM137" s="148"/>
      <c r="AN137" s="148"/>
      <c r="AO137" s="148"/>
      <c r="AP137" s="150"/>
      <c r="AQ137" s="154"/>
    </row>
    <row r="138" spans="1:43" ht="17.25" thickTop="1" thickBot="1" x14ac:dyDescent="0.3">
      <c r="A138" s="138" t="s">
        <v>243</v>
      </c>
      <c r="B138" s="153" t="s">
        <v>251</v>
      </c>
      <c r="C138" s="140">
        <v>14768</v>
      </c>
      <c r="D138" s="141">
        <v>0.20013937282229965</v>
      </c>
      <c r="E138" s="141">
        <v>0.39742160278745642</v>
      </c>
      <c r="F138" s="141">
        <v>0.40243902439024393</v>
      </c>
      <c r="G138" s="142">
        <f t="shared" si="56"/>
        <v>2955.6582578397215</v>
      </c>
      <c r="H138" s="142">
        <f t="shared" si="57"/>
        <v>5869.1222299651563</v>
      </c>
      <c r="I138" s="142">
        <f t="shared" si="58"/>
        <v>5943.2195121951227</v>
      </c>
      <c r="J138" s="143">
        <f t="shared" si="88"/>
        <v>1232.5094935191639</v>
      </c>
      <c r="K138" s="143">
        <f t="shared" si="89"/>
        <v>2447.4239698954702</v>
      </c>
      <c r="L138" s="143">
        <f t="shared" si="90"/>
        <v>2478.3225365853664</v>
      </c>
      <c r="M138" s="145">
        <f t="shared" si="82"/>
        <v>6158.2560000000012</v>
      </c>
      <c r="N138" s="149" t="e">
        <f>#REF!/100</f>
        <v>#REF!</v>
      </c>
      <c r="O138" s="149" t="e">
        <f>#REF!/100</f>
        <v>#REF!</v>
      </c>
      <c r="P138" s="149" t="e">
        <f>#REF!/50</f>
        <v>#REF!</v>
      </c>
      <c r="Q138" s="148"/>
      <c r="R138" s="148" t="e">
        <f t="shared" si="60"/>
        <v>#REF!</v>
      </c>
      <c r="S138" s="148" t="e">
        <f t="shared" si="92"/>
        <v>#REF!</v>
      </c>
      <c r="T138" s="148" t="e">
        <f t="shared" si="92"/>
        <v>#REF!</v>
      </c>
      <c r="U138" s="148"/>
      <c r="V138" s="148"/>
      <c r="W138" s="148"/>
      <c r="X138" s="148"/>
      <c r="Y138" s="148"/>
      <c r="Z138" s="150">
        <f t="shared" si="91"/>
        <v>5</v>
      </c>
      <c r="AA138" s="175">
        <v>4</v>
      </c>
      <c r="AB138" s="174">
        <f t="shared" si="61"/>
        <v>8</v>
      </c>
      <c r="AC138" s="149">
        <f t="shared" si="62"/>
        <v>4</v>
      </c>
      <c r="AD138" s="149">
        <f t="shared" si="63"/>
        <v>1.3333333333333333</v>
      </c>
      <c r="AE138" s="323">
        <v>1</v>
      </c>
      <c r="AF138" s="286"/>
      <c r="AG138" s="284"/>
      <c r="AH138" s="148"/>
      <c r="AI138" s="148"/>
      <c r="AJ138" s="148"/>
      <c r="AK138" s="148"/>
      <c r="AL138" s="148"/>
      <c r="AM138" s="148"/>
      <c r="AN138" s="148"/>
      <c r="AO138" s="148"/>
      <c r="AP138" s="150"/>
      <c r="AQ138" s="175"/>
    </row>
    <row r="139" spans="1:43" ht="19.5" thickTop="1" thickBot="1" x14ac:dyDescent="0.3">
      <c r="A139" s="138"/>
      <c r="B139" s="267" t="s">
        <v>1332</v>
      </c>
      <c r="C139" s="308">
        <f>SUM(C131:C138)</f>
        <v>134256</v>
      </c>
      <c r="D139" s="288"/>
      <c r="E139" s="288"/>
      <c r="F139" s="288"/>
      <c r="G139" s="324">
        <f>SUM(G131:G138)</f>
        <v>45804.360180711745</v>
      </c>
      <c r="H139" s="324">
        <f t="shared" ref="H139:AF139" si="93">SUM(H131:H138)</f>
        <v>50166.006141575861</v>
      </c>
      <c r="I139" s="324">
        <f t="shared" si="93"/>
        <v>38285.633677712394</v>
      </c>
      <c r="J139" s="324">
        <f t="shared" si="93"/>
        <v>19100.418195356797</v>
      </c>
      <c r="K139" s="324">
        <f t="shared" si="93"/>
        <v>20919.224561037139</v>
      </c>
      <c r="L139" s="324">
        <f t="shared" si="93"/>
        <v>15965.109243606068</v>
      </c>
      <c r="M139" s="324">
        <f t="shared" si="93"/>
        <v>55984.752</v>
      </c>
      <c r="N139" s="324" t="e">
        <f t="shared" si="93"/>
        <v>#REF!</v>
      </c>
      <c r="O139" s="324" t="e">
        <f t="shared" si="93"/>
        <v>#REF!</v>
      </c>
      <c r="P139" s="324" t="e">
        <f t="shared" si="93"/>
        <v>#REF!</v>
      </c>
      <c r="Q139" s="324">
        <f t="shared" si="93"/>
        <v>0</v>
      </c>
      <c r="R139" s="324" t="e">
        <f t="shared" si="93"/>
        <v>#REF!</v>
      </c>
      <c r="S139" s="324" t="e">
        <f t="shared" si="93"/>
        <v>#REF!</v>
      </c>
      <c r="T139" s="324" t="e">
        <f t="shared" si="93"/>
        <v>#REF!</v>
      </c>
      <c r="U139" s="324">
        <f t="shared" si="93"/>
        <v>0</v>
      </c>
      <c r="V139" s="324">
        <f t="shared" si="93"/>
        <v>0</v>
      </c>
      <c r="W139" s="324">
        <f t="shared" si="93"/>
        <v>0</v>
      </c>
      <c r="X139" s="324">
        <f t="shared" si="93"/>
        <v>0</v>
      </c>
      <c r="Y139" s="324">
        <f t="shared" si="93"/>
        <v>0</v>
      </c>
      <c r="Z139" s="324">
        <f t="shared" si="93"/>
        <v>47</v>
      </c>
      <c r="AA139" s="324">
        <f t="shared" si="93"/>
        <v>37</v>
      </c>
      <c r="AB139" s="324">
        <f t="shared" si="93"/>
        <v>74</v>
      </c>
      <c r="AC139" s="324">
        <f t="shared" si="93"/>
        <v>37</v>
      </c>
      <c r="AD139" s="324">
        <f t="shared" si="93"/>
        <v>12.333333333333332</v>
      </c>
      <c r="AE139" s="325">
        <f t="shared" si="93"/>
        <v>12</v>
      </c>
      <c r="AF139" s="326">
        <f t="shared" si="93"/>
        <v>3</v>
      </c>
      <c r="AG139" s="284"/>
      <c r="AH139" s="148"/>
      <c r="AI139" s="148"/>
      <c r="AJ139" s="148"/>
      <c r="AK139" s="148"/>
      <c r="AL139" s="148"/>
      <c r="AM139" s="148"/>
      <c r="AN139" s="148"/>
      <c r="AO139" s="148"/>
      <c r="AP139" s="150"/>
      <c r="AQ139" s="327"/>
    </row>
    <row r="140" spans="1:43" s="127" customFormat="1" ht="18.75" thickBot="1" x14ac:dyDescent="0.3">
      <c r="A140" s="176"/>
      <c r="B140" s="328" t="s">
        <v>252</v>
      </c>
      <c r="C140" s="308">
        <f>+C139+C130+C115+C108+C97+C77+C71+C51+C47+C38+C26</f>
        <v>2150468.86</v>
      </c>
      <c r="D140" s="330"/>
      <c r="E140" s="331"/>
      <c r="F140" s="331"/>
      <c r="G140" s="329">
        <f t="shared" ref="G140:AJ140" si="94">SUM(G26,G38,G47,G51,G71,G77,G97,G108,G115,G130,G139)</f>
        <v>815353.17943116429</v>
      </c>
      <c r="H140" s="329">
        <f>SUM(H26,H38,H47,H51,H71,H77,H97,H108,H115,H130,H139)</f>
        <v>1006298.5224071468</v>
      </c>
      <c r="I140" s="329">
        <f t="shared" si="94"/>
        <v>328817.39788308722</v>
      </c>
      <c r="J140" s="332">
        <f t="shared" si="94"/>
        <v>340002.27582279552</v>
      </c>
      <c r="K140" s="332">
        <f t="shared" si="94"/>
        <v>419626.48384378024</v>
      </c>
      <c r="L140" s="332">
        <f t="shared" si="94"/>
        <v>137116.85491724737</v>
      </c>
      <c r="M140" s="333">
        <f t="shared" si="94"/>
        <v>896745.61458382301</v>
      </c>
      <c r="N140" s="334" t="e">
        <f t="shared" si="94"/>
        <v>#REF!</v>
      </c>
      <c r="O140" s="334" t="e">
        <f t="shared" si="94"/>
        <v>#REF!</v>
      </c>
      <c r="P140" s="334" t="e">
        <f t="shared" si="94"/>
        <v>#REF!</v>
      </c>
      <c r="Q140" s="334">
        <f t="shared" si="94"/>
        <v>0</v>
      </c>
      <c r="R140" s="334" t="e">
        <f t="shared" si="94"/>
        <v>#REF!</v>
      </c>
      <c r="S140" s="334" t="e">
        <f t="shared" si="94"/>
        <v>#REF!</v>
      </c>
      <c r="T140" s="334" t="e">
        <f t="shared" si="94"/>
        <v>#REF!</v>
      </c>
      <c r="U140" s="334">
        <f t="shared" si="94"/>
        <v>0</v>
      </c>
      <c r="V140" s="334">
        <f t="shared" si="94"/>
        <v>0</v>
      </c>
      <c r="W140" s="334">
        <f t="shared" si="94"/>
        <v>0</v>
      </c>
      <c r="X140" s="334">
        <f t="shared" si="94"/>
        <v>117</v>
      </c>
      <c r="Y140" s="334">
        <f t="shared" si="94"/>
        <v>50</v>
      </c>
      <c r="Z140" s="335">
        <f t="shared" si="94"/>
        <v>710</v>
      </c>
      <c r="AA140" s="336">
        <f t="shared" si="94"/>
        <v>578</v>
      </c>
      <c r="AB140" s="336">
        <f t="shared" si="94"/>
        <v>1156</v>
      </c>
      <c r="AC140" s="336">
        <f t="shared" si="94"/>
        <v>578</v>
      </c>
      <c r="AD140" s="391">
        <f t="shared" si="94"/>
        <v>191.16666666666666</v>
      </c>
      <c r="AE140" s="337">
        <f t="shared" si="94"/>
        <v>176</v>
      </c>
      <c r="AF140" s="336">
        <f t="shared" si="94"/>
        <v>38</v>
      </c>
      <c r="AG140" s="338">
        <f t="shared" si="94"/>
        <v>0</v>
      </c>
      <c r="AH140" s="183">
        <f t="shared" si="94"/>
        <v>0</v>
      </c>
      <c r="AI140" s="183">
        <f t="shared" si="94"/>
        <v>0</v>
      </c>
      <c r="AJ140" s="183">
        <f t="shared" si="94"/>
        <v>0</v>
      </c>
      <c r="AK140" s="183"/>
      <c r="AL140" s="183"/>
      <c r="AM140" s="183"/>
      <c r="AN140" s="183"/>
      <c r="AO140" s="183"/>
      <c r="AP140" s="184"/>
      <c r="AQ140" s="185"/>
    </row>
    <row r="141" spans="1:43" ht="16.5" thickTop="1" x14ac:dyDescent="0.25"/>
    <row r="143" spans="1:43" x14ac:dyDescent="0.25">
      <c r="G143" s="123" t="s">
        <v>1567</v>
      </c>
    </row>
  </sheetData>
  <mergeCells count="10">
    <mergeCell ref="J9:M9"/>
    <mergeCell ref="Z10:AA10"/>
    <mergeCell ref="AD10:AE10"/>
    <mergeCell ref="AF10:AF11"/>
    <mergeCell ref="A10:A11"/>
    <mergeCell ref="B10:B11"/>
    <mergeCell ref="C10:C11"/>
    <mergeCell ref="D10:F10"/>
    <mergeCell ref="G10:I10"/>
    <mergeCell ref="J10:M10"/>
  </mergeCells>
  <conditionalFormatting sqref="C1:C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AF22A"/>
  </sheetPr>
  <dimension ref="A1:AU302"/>
  <sheetViews>
    <sheetView topLeftCell="A7" zoomScale="120" zoomScaleNormal="120" workbookViewId="0">
      <pane ySplit="3" topLeftCell="A123" activePane="bottomLeft" state="frozen"/>
      <selection activeCell="A7" sqref="A7"/>
      <selection pane="bottomLeft" activeCell="D126" sqref="D126"/>
    </sheetView>
  </sheetViews>
  <sheetFormatPr baseColWidth="10" defaultColWidth="10.625" defaultRowHeight="15.75" x14ac:dyDescent="0.25"/>
  <cols>
    <col min="1" max="1" width="3.75" style="48" customWidth="1"/>
    <col min="2" max="2" width="45.625" style="48" customWidth="1"/>
    <col min="3" max="3" width="16" style="48" customWidth="1"/>
    <col min="4" max="4" width="14.5" style="48" customWidth="1"/>
    <col min="5" max="5" width="12.375" style="48" customWidth="1"/>
    <col min="6" max="6" width="17" style="48" customWidth="1"/>
    <col min="7" max="7" width="27.25" style="48" customWidth="1"/>
    <col min="8" max="8" width="25.5" style="48" customWidth="1"/>
    <col min="9" max="9" width="25.25" customWidth="1"/>
    <col min="10" max="10" width="25" customWidth="1"/>
    <col min="11" max="11" width="16.75" customWidth="1"/>
    <col min="12" max="14" width="8.875" customWidth="1"/>
    <col min="15" max="15" width="12.125" customWidth="1"/>
    <col min="16" max="256" width="8.875" customWidth="1"/>
  </cols>
  <sheetData>
    <row r="1" spans="1:15" x14ac:dyDescent="0.25">
      <c r="A1" s="1" t="s">
        <v>1344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</row>
    <row r="2" spans="1:15" x14ac:dyDescent="0.25">
      <c r="A2" s="1" t="s">
        <v>0</v>
      </c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</row>
    <row r="3" spans="1:15" x14ac:dyDescent="0.25">
      <c r="A3" s="1" t="s">
        <v>1520</v>
      </c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</row>
    <row r="4" spans="1:15" ht="16.5" thickBot="1" x14ac:dyDescent="0.3">
      <c r="A4" s="1" t="s">
        <v>1</v>
      </c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</row>
    <row r="5" spans="1:15" ht="16.5" thickBot="1" x14ac:dyDescent="0.3">
      <c r="A5" s="1" t="s">
        <v>2</v>
      </c>
      <c r="B5" s="1"/>
      <c r="C5" s="389">
        <f>G273</f>
        <v>62623000</v>
      </c>
      <c r="D5" s="390">
        <f>H273</f>
        <v>105703.24155703241</v>
      </c>
      <c r="E5" s="362"/>
      <c r="F5" s="1"/>
      <c r="G5" s="1"/>
      <c r="H5" s="1"/>
      <c r="I5" s="2"/>
      <c r="J5" s="2"/>
      <c r="K5" s="2"/>
      <c r="L5" s="2"/>
      <c r="M5" s="2"/>
      <c r="N5" s="2"/>
      <c r="O5" s="2"/>
    </row>
    <row r="6" spans="1:15" ht="16.5" thickBot="1" x14ac:dyDescent="0.3">
      <c r="A6" s="1" t="s">
        <v>1539</v>
      </c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</row>
    <row r="7" spans="1:15" ht="17.25" customHeight="1" thickBot="1" x14ac:dyDescent="0.3">
      <c r="A7" s="773" t="s">
        <v>3</v>
      </c>
      <c r="B7" s="774"/>
      <c r="C7" s="774"/>
      <c r="D7" s="774"/>
      <c r="E7" s="774"/>
      <c r="F7" s="774"/>
      <c r="G7" s="570"/>
      <c r="H7" s="571"/>
      <c r="I7" s="535" t="s">
        <v>4</v>
      </c>
      <c r="J7" s="534"/>
      <c r="K7" s="535"/>
      <c r="L7" s="535"/>
      <c r="M7" s="535"/>
      <c r="N7" s="536"/>
      <c r="O7" s="775" t="s">
        <v>5</v>
      </c>
    </row>
    <row r="8" spans="1:15" ht="26.25" thickBot="1" x14ac:dyDescent="0.3">
      <c r="A8" s="211" t="s">
        <v>1540</v>
      </c>
      <c r="B8" s="212" t="s">
        <v>1533</v>
      </c>
      <c r="C8" s="212" t="s">
        <v>8</v>
      </c>
      <c r="D8" s="213" t="s">
        <v>9</v>
      </c>
      <c r="E8" s="212" t="s">
        <v>10</v>
      </c>
      <c r="F8" s="213" t="s">
        <v>11</v>
      </c>
      <c r="G8" s="214" t="s">
        <v>12</v>
      </c>
      <c r="H8" s="579" t="s">
        <v>1532</v>
      </c>
      <c r="I8" s="580" t="s">
        <v>1533</v>
      </c>
      <c r="J8" s="543" t="s">
        <v>7</v>
      </c>
      <c r="K8" s="540" t="s">
        <v>13</v>
      </c>
      <c r="L8" s="540" t="s">
        <v>14</v>
      </c>
      <c r="M8" s="540" t="s">
        <v>15</v>
      </c>
      <c r="N8" s="541" t="s">
        <v>16</v>
      </c>
      <c r="O8" s="776"/>
    </row>
    <row r="9" spans="1:15" ht="72.75" thickBot="1" x14ac:dyDescent="0.3">
      <c r="A9" s="608"/>
      <c r="B9" s="609" t="s">
        <v>428</v>
      </c>
      <c r="C9" s="610"/>
      <c r="D9" s="610"/>
      <c r="E9" s="610"/>
      <c r="F9" s="611"/>
      <c r="G9" s="538"/>
      <c r="H9" s="574"/>
      <c r="I9" s="723" t="s">
        <v>1613</v>
      </c>
      <c r="J9" s="724" t="s">
        <v>1624</v>
      </c>
      <c r="K9" s="10"/>
      <c r="L9" s="10"/>
      <c r="M9" s="10"/>
      <c r="N9" s="5"/>
      <c r="O9" s="5"/>
    </row>
    <row r="10" spans="1:15" x14ac:dyDescent="0.25">
      <c r="A10" s="201"/>
      <c r="B10" s="202"/>
      <c r="C10" s="202"/>
      <c r="D10" s="203"/>
      <c r="E10" s="202"/>
      <c r="F10" s="203"/>
      <c r="G10" s="204"/>
      <c r="H10" s="339"/>
      <c r="I10" s="10"/>
      <c r="J10" s="10"/>
      <c r="K10" s="10"/>
      <c r="L10" s="10"/>
      <c r="M10" s="10"/>
      <c r="N10" s="5"/>
      <c r="O10" s="5"/>
    </row>
    <row r="11" spans="1:15" ht="25.5" customHeight="1" x14ac:dyDescent="0.25">
      <c r="A11" s="22">
        <v>1</v>
      </c>
      <c r="B11" s="26" t="s">
        <v>348</v>
      </c>
      <c r="C11" s="23" t="s">
        <v>28</v>
      </c>
      <c r="D11" s="20">
        <v>40</v>
      </c>
      <c r="E11" s="23">
        <v>10</v>
      </c>
      <c r="F11" s="25">
        <v>7500</v>
      </c>
      <c r="G11" s="346">
        <f t="shared" ref="G11:G16" si="0">D11*E11*F11</f>
        <v>3000000</v>
      </c>
      <c r="H11" s="435">
        <f>G11/589.84</f>
        <v>5086.1250508612502</v>
      </c>
      <c r="I11" s="642">
        <f>G11*0.03</f>
        <v>90000</v>
      </c>
      <c r="J11" s="642">
        <f>1600*D11</f>
        <v>64000</v>
      </c>
      <c r="K11" s="642">
        <f t="shared" ref="K11:K16" si="1">G11/D11</f>
        <v>75000</v>
      </c>
      <c r="L11" s="12"/>
      <c r="M11" s="12"/>
      <c r="N11" s="12"/>
      <c r="O11" s="12"/>
    </row>
    <row r="12" spans="1:15" ht="25.5" customHeight="1" x14ac:dyDescent="0.25">
      <c r="A12" s="22">
        <v>2</v>
      </c>
      <c r="B12" s="26" t="s">
        <v>349</v>
      </c>
      <c r="C12" s="23" t="s">
        <v>28</v>
      </c>
      <c r="D12" s="20">
        <v>20</v>
      </c>
      <c r="E12" s="23">
        <v>10</v>
      </c>
      <c r="F12" s="25">
        <v>3000</v>
      </c>
      <c r="G12" s="25">
        <f t="shared" si="0"/>
        <v>600000</v>
      </c>
      <c r="H12" s="268">
        <f t="shared" ref="H12:H16" si="2">G12/589.84</f>
        <v>1017.22501017225</v>
      </c>
      <c r="I12" s="642">
        <f t="shared" ref="I12:I16" si="3">G12*0.03</f>
        <v>18000</v>
      </c>
      <c r="J12" s="642">
        <f>1050*D12</f>
        <v>21000</v>
      </c>
      <c r="K12" s="642">
        <f t="shared" si="1"/>
        <v>30000</v>
      </c>
      <c r="L12" s="12"/>
      <c r="M12" s="12"/>
      <c r="N12" s="12"/>
      <c r="O12" s="12"/>
    </row>
    <row r="13" spans="1:15" ht="25.5" customHeight="1" x14ac:dyDescent="0.25">
      <c r="A13" s="22">
        <v>3</v>
      </c>
      <c r="B13" s="26" t="s">
        <v>350</v>
      </c>
      <c r="C13" s="23" t="s">
        <v>28</v>
      </c>
      <c r="D13" s="20">
        <v>1</v>
      </c>
      <c r="E13" s="23">
        <v>10</v>
      </c>
      <c r="F13" s="25">
        <v>7500</v>
      </c>
      <c r="G13" s="25">
        <f t="shared" si="0"/>
        <v>75000</v>
      </c>
      <c r="H13" s="268">
        <f t="shared" si="2"/>
        <v>127.15312627153125</v>
      </c>
      <c r="I13" s="642">
        <f t="shared" si="3"/>
        <v>2250</v>
      </c>
      <c r="J13" s="642">
        <f>1600*D13</f>
        <v>1600</v>
      </c>
      <c r="K13" s="642">
        <f t="shared" si="1"/>
        <v>75000</v>
      </c>
      <c r="L13" s="12"/>
      <c r="M13" s="12"/>
      <c r="N13" s="12"/>
      <c r="O13" s="12"/>
    </row>
    <row r="14" spans="1:15" ht="25.5" customHeight="1" x14ac:dyDescent="0.25">
      <c r="A14" s="22">
        <v>4</v>
      </c>
      <c r="B14" s="26" t="s">
        <v>1364</v>
      </c>
      <c r="C14" s="23" t="s">
        <v>28</v>
      </c>
      <c r="D14" s="20">
        <v>80</v>
      </c>
      <c r="E14" s="23">
        <v>7</v>
      </c>
      <c r="F14" s="25">
        <v>3000</v>
      </c>
      <c r="G14" s="25">
        <f t="shared" si="0"/>
        <v>1680000</v>
      </c>
      <c r="H14" s="268">
        <f t="shared" si="2"/>
        <v>2848.2300284823</v>
      </c>
      <c r="I14" s="642">
        <f t="shared" si="3"/>
        <v>50400</v>
      </c>
      <c r="J14" s="642">
        <f>550*D14</f>
        <v>44000</v>
      </c>
      <c r="K14" s="642">
        <f t="shared" si="1"/>
        <v>21000</v>
      </c>
      <c r="L14" s="12"/>
      <c r="M14" s="12"/>
      <c r="N14" s="12"/>
      <c r="O14" s="12"/>
    </row>
    <row r="15" spans="1:15" ht="25.5" customHeight="1" x14ac:dyDescent="0.25">
      <c r="A15" s="22">
        <v>5</v>
      </c>
      <c r="B15" s="26" t="s">
        <v>1335</v>
      </c>
      <c r="C15" s="23" t="s">
        <v>28</v>
      </c>
      <c r="D15" s="20">
        <v>1</v>
      </c>
      <c r="E15" s="23">
        <v>10</v>
      </c>
      <c r="F15" s="25">
        <v>8000</v>
      </c>
      <c r="G15" s="25">
        <f t="shared" si="0"/>
        <v>80000</v>
      </c>
      <c r="H15" s="268">
        <f t="shared" si="2"/>
        <v>135.6300013563</v>
      </c>
      <c r="I15" s="642">
        <f t="shared" si="3"/>
        <v>2400</v>
      </c>
      <c r="J15" s="642">
        <f>1600*D15</f>
        <v>1600</v>
      </c>
      <c r="K15" s="642">
        <f t="shared" si="1"/>
        <v>80000</v>
      </c>
      <c r="L15" s="12"/>
      <c r="M15" s="12"/>
      <c r="N15" s="12"/>
      <c r="O15" s="12"/>
    </row>
    <row r="16" spans="1:15" ht="25.5" customHeight="1" thickBot="1" x14ac:dyDescent="0.3">
      <c r="A16" s="22">
        <v>6</v>
      </c>
      <c r="B16" s="26" t="s">
        <v>384</v>
      </c>
      <c r="C16" s="23" t="s">
        <v>28</v>
      </c>
      <c r="D16" s="20">
        <v>6</v>
      </c>
      <c r="E16" s="23">
        <v>10</v>
      </c>
      <c r="F16" s="25">
        <v>8000</v>
      </c>
      <c r="G16" s="25">
        <f t="shared" si="0"/>
        <v>480000</v>
      </c>
      <c r="H16" s="425">
        <f t="shared" si="2"/>
        <v>813.7800081378</v>
      </c>
      <c r="I16" s="642">
        <f t="shared" si="3"/>
        <v>14400</v>
      </c>
      <c r="J16" s="642">
        <f>1600*D16</f>
        <v>9600</v>
      </c>
      <c r="K16" s="642">
        <f t="shared" si="1"/>
        <v>80000</v>
      </c>
      <c r="L16" s="12"/>
      <c r="M16" s="12"/>
      <c r="N16" s="12"/>
      <c r="O16" s="12"/>
    </row>
    <row r="17" spans="1:15" ht="18.75" thickBot="1" x14ac:dyDescent="0.3">
      <c r="A17" s="341"/>
      <c r="B17" s="342" t="s">
        <v>1423</v>
      </c>
      <c r="C17" s="343"/>
      <c r="D17" s="343"/>
      <c r="E17" s="343"/>
      <c r="F17" s="344"/>
      <c r="G17" s="344">
        <f>SUM(G11:G16)</f>
        <v>5915000</v>
      </c>
      <c r="H17" s="690">
        <f>SUM(H11:H16)</f>
        <v>10028.14322528143</v>
      </c>
      <c r="I17" s="263">
        <f>SUM(I11:I16)</f>
        <v>177450</v>
      </c>
      <c r="J17" s="263">
        <f>SUM(J11:J16)</f>
        <v>141800</v>
      </c>
      <c r="K17" s="12"/>
      <c r="L17" s="12"/>
      <c r="M17" s="12"/>
      <c r="N17" s="12"/>
      <c r="O17" s="12"/>
    </row>
    <row r="18" spans="1:15" ht="26.25" customHeight="1" x14ac:dyDescent="0.25">
      <c r="A18" s="22">
        <v>1</v>
      </c>
      <c r="B18" s="26" t="s">
        <v>351</v>
      </c>
      <c r="C18" s="23" t="s">
        <v>28</v>
      </c>
      <c r="D18" s="20">
        <v>20</v>
      </c>
      <c r="E18" s="23">
        <v>10</v>
      </c>
      <c r="F18" s="25">
        <v>7500</v>
      </c>
      <c r="G18" s="346">
        <f t="shared" ref="G18:G23" si="4">D18*E18*F18</f>
        <v>1500000</v>
      </c>
      <c r="H18" s="435">
        <f>G18/589.84</f>
        <v>2543.0625254306251</v>
      </c>
      <c r="I18" s="689">
        <f t="shared" ref="I18:I23" si="5">G18*0.03</f>
        <v>45000</v>
      </c>
      <c r="J18" s="642">
        <f>1600*D18</f>
        <v>32000</v>
      </c>
      <c r="K18" s="642">
        <f t="shared" ref="K18:K23" si="6">G18/D18</f>
        <v>75000</v>
      </c>
      <c r="L18" s="12"/>
      <c r="M18" s="12"/>
      <c r="N18" s="12"/>
      <c r="O18" s="12"/>
    </row>
    <row r="19" spans="1:15" ht="26.25" customHeight="1" x14ac:dyDescent="0.25">
      <c r="A19" s="22">
        <v>2</v>
      </c>
      <c r="B19" s="26" t="s">
        <v>352</v>
      </c>
      <c r="C19" s="23" t="s">
        <v>28</v>
      </c>
      <c r="D19" s="20">
        <v>10</v>
      </c>
      <c r="E19" s="23">
        <v>10</v>
      </c>
      <c r="F19" s="25">
        <v>3000</v>
      </c>
      <c r="G19" s="25">
        <f t="shared" si="4"/>
        <v>300000</v>
      </c>
      <c r="H19" s="268">
        <f t="shared" ref="H19:H23" si="7">G19/589.84</f>
        <v>508.612505086125</v>
      </c>
      <c r="I19" s="642">
        <f t="shared" si="5"/>
        <v>9000</v>
      </c>
      <c r="J19" s="642">
        <f>1050*D19</f>
        <v>10500</v>
      </c>
      <c r="K19" s="642">
        <f t="shared" si="6"/>
        <v>30000</v>
      </c>
      <c r="L19" s="12"/>
      <c r="M19" s="12"/>
      <c r="N19" s="12"/>
      <c r="O19" s="12"/>
    </row>
    <row r="20" spans="1:15" ht="26.25" customHeight="1" x14ac:dyDescent="0.25">
      <c r="A20" s="22">
        <v>3</v>
      </c>
      <c r="B20" s="26" t="s">
        <v>353</v>
      </c>
      <c r="C20" s="23" t="s">
        <v>28</v>
      </c>
      <c r="D20" s="20">
        <v>1</v>
      </c>
      <c r="E20" s="23">
        <v>10</v>
      </c>
      <c r="F20" s="25">
        <v>7500</v>
      </c>
      <c r="G20" s="25">
        <f t="shared" si="4"/>
        <v>75000</v>
      </c>
      <c r="H20" s="268">
        <f t="shared" si="7"/>
        <v>127.15312627153125</v>
      </c>
      <c r="I20" s="642">
        <f t="shared" si="5"/>
        <v>2250</v>
      </c>
      <c r="J20" s="642">
        <f>1600*D20</f>
        <v>1600</v>
      </c>
      <c r="K20" s="642">
        <f t="shared" si="6"/>
        <v>75000</v>
      </c>
      <c r="L20" s="12"/>
      <c r="M20" s="12"/>
      <c r="N20" s="12"/>
      <c r="O20" s="12"/>
    </row>
    <row r="21" spans="1:15" ht="26.25" customHeight="1" x14ac:dyDescent="0.25">
      <c r="A21" s="22">
        <v>4</v>
      </c>
      <c r="B21" s="26" t="s">
        <v>1364</v>
      </c>
      <c r="C21" s="23" t="s">
        <v>28</v>
      </c>
      <c r="D21" s="20">
        <v>36</v>
      </c>
      <c r="E21" s="23">
        <v>7</v>
      </c>
      <c r="F21" s="25">
        <v>3000</v>
      </c>
      <c r="G21" s="25">
        <f t="shared" si="4"/>
        <v>756000</v>
      </c>
      <c r="H21" s="268">
        <f t="shared" si="7"/>
        <v>1281.7035128170351</v>
      </c>
      <c r="I21" s="642">
        <f t="shared" si="5"/>
        <v>22680</v>
      </c>
      <c r="J21" s="642">
        <f>550*D21</f>
        <v>19800</v>
      </c>
      <c r="K21" s="642">
        <f t="shared" si="6"/>
        <v>21000</v>
      </c>
      <c r="L21" s="12"/>
      <c r="M21" s="12"/>
      <c r="N21" s="12"/>
      <c r="O21" s="12"/>
    </row>
    <row r="22" spans="1:15" ht="30" customHeight="1" x14ac:dyDescent="0.25">
      <c r="A22" s="22">
        <v>5</v>
      </c>
      <c r="B22" s="26" t="s">
        <v>1336</v>
      </c>
      <c r="C22" s="23" t="s">
        <v>28</v>
      </c>
      <c r="D22" s="20">
        <v>1</v>
      </c>
      <c r="E22" s="23">
        <v>10</v>
      </c>
      <c r="F22" s="25">
        <v>8000</v>
      </c>
      <c r="G22" s="25">
        <f t="shared" si="4"/>
        <v>80000</v>
      </c>
      <c r="H22" s="268">
        <f t="shared" si="7"/>
        <v>135.6300013563</v>
      </c>
      <c r="I22" s="642">
        <f t="shared" si="5"/>
        <v>2400</v>
      </c>
      <c r="J22" s="642">
        <f>1600*D22</f>
        <v>1600</v>
      </c>
      <c r="K22" s="642">
        <f t="shared" si="6"/>
        <v>80000</v>
      </c>
      <c r="L22" s="12"/>
      <c r="M22" s="12"/>
      <c r="N22" s="12"/>
      <c r="O22" s="12"/>
    </row>
    <row r="23" spans="1:15" ht="29.25" thickBot="1" x14ac:dyDescent="0.3">
      <c r="A23" s="22">
        <v>6</v>
      </c>
      <c r="B23" s="26" t="s">
        <v>385</v>
      </c>
      <c r="C23" s="23" t="s">
        <v>28</v>
      </c>
      <c r="D23" s="20">
        <v>3</v>
      </c>
      <c r="E23" s="23">
        <v>10</v>
      </c>
      <c r="F23" s="25">
        <v>8000</v>
      </c>
      <c r="G23" s="25">
        <f t="shared" si="4"/>
        <v>240000</v>
      </c>
      <c r="H23" s="268">
        <f t="shared" si="7"/>
        <v>406.8900040689</v>
      </c>
      <c r="I23" s="642">
        <f t="shared" si="5"/>
        <v>7200</v>
      </c>
      <c r="J23" s="642">
        <f>1600*D23</f>
        <v>4800</v>
      </c>
      <c r="K23" s="642">
        <f t="shared" si="6"/>
        <v>80000</v>
      </c>
      <c r="L23" s="12"/>
      <c r="M23" s="12"/>
      <c r="N23" s="12"/>
      <c r="O23" s="12"/>
    </row>
    <row r="24" spans="1:15" ht="23.25" customHeight="1" thickBot="1" x14ac:dyDescent="0.3">
      <c r="A24" s="341"/>
      <c r="B24" s="342" t="s">
        <v>1423</v>
      </c>
      <c r="C24" s="343"/>
      <c r="D24" s="343"/>
      <c r="E24" s="343"/>
      <c r="F24" s="344"/>
      <c r="G24" s="344">
        <f>SUM(G18:G23)</f>
        <v>2951000</v>
      </c>
      <c r="H24" s="516">
        <f>SUM(H18:H23)</f>
        <v>5003.051675030516</v>
      </c>
      <c r="I24" s="263">
        <f>SUM(I18:I23)</f>
        <v>88530</v>
      </c>
      <c r="J24" s="263">
        <f>SUM(J18:J23)</f>
        <v>70300</v>
      </c>
      <c r="K24" s="12"/>
      <c r="L24" s="12"/>
      <c r="M24" s="12"/>
      <c r="N24" s="12"/>
      <c r="O24" s="12"/>
    </row>
    <row r="25" spans="1:15" ht="21.75" customHeight="1" thickBot="1" x14ac:dyDescent="0.3">
      <c r="A25" s="22">
        <v>1</v>
      </c>
      <c r="B25" s="26" t="s">
        <v>354</v>
      </c>
      <c r="C25" s="23" t="s">
        <v>28</v>
      </c>
      <c r="D25" s="20">
        <v>10</v>
      </c>
      <c r="E25" s="23">
        <v>10</v>
      </c>
      <c r="F25" s="25">
        <v>7500</v>
      </c>
      <c r="G25" s="25">
        <f t="shared" ref="G25:G30" si="8">D25*E25*F25</f>
        <v>750000</v>
      </c>
      <c r="H25" s="544">
        <f>G25/589.84</f>
        <v>1271.5312627153126</v>
      </c>
      <c r="I25" s="642">
        <f t="shared" ref="I25:I30" si="9">G25*0.03</f>
        <v>22500</v>
      </c>
      <c r="J25" s="642">
        <f>1600*D25</f>
        <v>16000</v>
      </c>
      <c r="K25" s="642">
        <f t="shared" ref="K25:K30" si="10">G25/D25</f>
        <v>75000</v>
      </c>
      <c r="L25" s="12"/>
      <c r="M25" s="12"/>
      <c r="N25" s="12"/>
      <c r="O25" s="12"/>
    </row>
    <row r="26" spans="1:15" x14ac:dyDescent="0.25">
      <c r="A26" s="22">
        <v>2</v>
      </c>
      <c r="B26" s="26" t="s">
        <v>355</v>
      </c>
      <c r="C26" s="23" t="s">
        <v>28</v>
      </c>
      <c r="D26" s="20">
        <v>5</v>
      </c>
      <c r="E26" s="23">
        <v>10</v>
      </c>
      <c r="F26" s="25">
        <v>3000</v>
      </c>
      <c r="G26" s="25">
        <f t="shared" si="8"/>
        <v>150000</v>
      </c>
      <c r="H26" s="268">
        <f t="shared" ref="H26:H30" si="11">G26/589.84</f>
        <v>254.3062525430625</v>
      </c>
      <c r="I26" s="642">
        <f t="shared" si="9"/>
        <v>4500</v>
      </c>
      <c r="J26" s="642">
        <f>1050*D26</f>
        <v>5250</v>
      </c>
      <c r="K26" s="642">
        <f t="shared" si="10"/>
        <v>30000</v>
      </c>
      <c r="L26" s="12"/>
      <c r="M26" s="12"/>
      <c r="N26" s="12"/>
      <c r="O26" s="12"/>
    </row>
    <row r="27" spans="1:15" ht="28.5" x14ac:dyDescent="0.25">
      <c r="A27" s="22">
        <v>3</v>
      </c>
      <c r="B27" s="26" t="s">
        <v>356</v>
      </c>
      <c r="C27" s="23" t="s">
        <v>28</v>
      </c>
      <c r="D27" s="20">
        <v>1</v>
      </c>
      <c r="E27" s="23">
        <v>10</v>
      </c>
      <c r="F27" s="25">
        <v>7500</v>
      </c>
      <c r="G27" s="25">
        <f t="shared" si="8"/>
        <v>75000</v>
      </c>
      <c r="H27" s="268">
        <f t="shared" si="11"/>
        <v>127.15312627153125</v>
      </c>
      <c r="I27" s="642">
        <f t="shared" si="9"/>
        <v>2250</v>
      </c>
      <c r="J27" s="642">
        <f>1600*D27</f>
        <v>1600</v>
      </c>
      <c r="K27" s="642">
        <f t="shared" si="10"/>
        <v>75000</v>
      </c>
      <c r="L27" s="12"/>
      <c r="M27" s="12"/>
      <c r="N27" s="12"/>
      <c r="O27" s="12"/>
    </row>
    <row r="28" spans="1:15" ht="22.5" customHeight="1" x14ac:dyDescent="0.25">
      <c r="A28" s="22">
        <v>4</v>
      </c>
      <c r="B28" s="26" t="s">
        <v>1364</v>
      </c>
      <c r="C28" s="23" t="s">
        <v>28</v>
      </c>
      <c r="D28" s="20">
        <v>15</v>
      </c>
      <c r="E28" s="23">
        <v>7</v>
      </c>
      <c r="F28" s="25">
        <v>3000</v>
      </c>
      <c r="G28" s="25">
        <f t="shared" si="8"/>
        <v>315000</v>
      </c>
      <c r="H28" s="268">
        <f t="shared" ref="H28" si="12">G28/589.84</f>
        <v>534.04313034043128</v>
      </c>
      <c r="I28" s="642">
        <f t="shared" si="9"/>
        <v>9450</v>
      </c>
      <c r="J28" s="642">
        <f>550*D28</f>
        <v>8250</v>
      </c>
      <c r="K28" s="642">
        <f t="shared" si="10"/>
        <v>21000</v>
      </c>
      <c r="L28" s="12"/>
      <c r="M28" s="12"/>
      <c r="N28" s="12"/>
      <c r="O28" s="12"/>
    </row>
    <row r="29" spans="1:15" ht="28.5" x14ac:dyDescent="0.25">
      <c r="A29" s="22">
        <v>5</v>
      </c>
      <c r="B29" s="26" t="s">
        <v>1337</v>
      </c>
      <c r="C29" s="23" t="s">
        <v>28</v>
      </c>
      <c r="D29" s="20">
        <v>1</v>
      </c>
      <c r="E29" s="23">
        <v>10</v>
      </c>
      <c r="F29" s="25">
        <v>8000</v>
      </c>
      <c r="G29" s="25">
        <f t="shared" si="8"/>
        <v>80000</v>
      </c>
      <c r="H29" s="268">
        <f t="shared" si="11"/>
        <v>135.6300013563</v>
      </c>
      <c r="I29" s="642">
        <f t="shared" si="9"/>
        <v>2400</v>
      </c>
      <c r="J29" s="642">
        <f>1600*D29</f>
        <v>1600</v>
      </c>
      <c r="K29" s="642">
        <f t="shared" si="10"/>
        <v>80000</v>
      </c>
      <c r="L29" s="12"/>
      <c r="M29" s="12"/>
      <c r="N29" s="12"/>
      <c r="O29" s="12"/>
    </row>
    <row r="30" spans="1:15" ht="16.5" thickBot="1" x14ac:dyDescent="0.3">
      <c r="A30" s="22">
        <v>6</v>
      </c>
      <c r="B30" s="26" t="s">
        <v>386</v>
      </c>
      <c r="C30" s="23" t="s">
        <v>28</v>
      </c>
      <c r="D30" s="20">
        <v>1</v>
      </c>
      <c r="E30" s="23">
        <v>10</v>
      </c>
      <c r="F30" s="25">
        <v>8000</v>
      </c>
      <c r="G30" s="25">
        <f t="shared" si="8"/>
        <v>80000</v>
      </c>
      <c r="H30" s="268">
        <f t="shared" si="11"/>
        <v>135.6300013563</v>
      </c>
      <c r="I30" s="642">
        <f t="shared" si="9"/>
        <v>2400</v>
      </c>
      <c r="J30" s="642">
        <f>1600*D30</f>
        <v>1600</v>
      </c>
      <c r="K30" s="642">
        <f t="shared" si="10"/>
        <v>80000</v>
      </c>
      <c r="L30" s="12"/>
      <c r="M30" s="12"/>
      <c r="N30" s="12"/>
      <c r="O30" s="12"/>
    </row>
    <row r="31" spans="1:15" ht="18.75" thickBot="1" x14ac:dyDescent="0.3">
      <c r="A31" s="341"/>
      <c r="B31" s="342" t="s">
        <v>1423</v>
      </c>
      <c r="C31" s="343"/>
      <c r="D31" s="343"/>
      <c r="E31" s="343"/>
      <c r="F31" s="344"/>
      <c r="G31" s="344">
        <f>SUM(G25:G30)</f>
        <v>1450000</v>
      </c>
      <c r="H31" s="516">
        <f>SUM(H25:H30)</f>
        <v>2458.2937745829377</v>
      </c>
      <c r="I31" s="263">
        <f>SUM(I25:I30)</f>
        <v>43500</v>
      </c>
      <c r="J31" s="263">
        <f>SUM(J25:J30)</f>
        <v>34300</v>
      </c>
      <c r="K31" s="12"/>
      <c r="L31" s="12"/>
      <c r="M31" s="12"/>
      <c r="N31" s="12"/>
      <c r="O31" s="12"/>
    </row>
    <row r="32" spans="1:15" ht="16.5" thickBot="1" x14ac:dyDescent="0.3">
      <c r="A32" s="22">
        <v>1</v>
      </c>
      <c r="B32" s="26" t="s">
        <v>357</v>
      </c>
      <c r="C32" s="23" t="s">
        <v>28</v>
      </c>
      <c r="D32" s="20">
        <v>18</v>
      </c>
      <c r="E32" s="23">
        <v>10</v>
      </c>
      <c r="F32" s="25">
        <v>7500</v>
      </c>
      <c r="G32" s="25">
        <f t="shared" ref="G32:G37" si="13">D32*E32*F32</f>
        <v>1350000</v>
      </c>
      <c r="H32" s="544">
        <f>G32/589.84</f>
        <v>2288.7562728875628</v>
      </c>
      <c r="I32" s="642">
        <f t="shared" ref="I32:I37" si="14">G32*0.03</f>
        <v>40500</v>
      </c>
      <c r="J32" s="642">
        <f>1600*D32</f>
        <v>28800</v>
      </c>
      <c r="K32" s="642">
        <f t="shared" ref="K32:K37" si="15">G32/D32</f>
        <v>75000</v>
      </c>
      <c r="L32" s="12"/>
      <c r="M32" s="12"/>
      <c r="N32" s="12"/>
      <c r="O32" s="12"/>
    </row>
    <row r="33" spans="1:15" x14ac:dyDescent="0.25">
      <c r="A33" s="22">
        <v>2</v>
      </c>
      <c r="B33" s="26" t="s">
        <v>358</v>
      </c>
      <c r="C33" s="23" t="s">
        <v>28</v>
      </c>
      <c r="D33" s="20">
        <v>9</v>
      </c>
      <c r="E33" s="23">
        <v>10</v>
      </c>
      <c r="F33" s="25">
        <v>3000</v>
      </c>
      <c r="G33" s="25">
        <f t="shared" si="13"/>
        <v>270000</v>
      </c>
      <c r="H33" s="268">
        <f t="shared" ref="H33:H37" si="16">G33/589.84</f>
        <v>457.7512545775125</v>
      </c>
      <c r="I33" s="642">
        <f t="shared" si="14"/>
        <v>8100</v>
      </c>
      <c r="J33" s="642">
        <f>1050*D33</f>
        <v>9450</v>
      </c>
      <c r="K33" s="642">
        <f t="shared" si="15"/>
        <v>30000</v>
      </c>
      <c r="L33" s="12"/>
      <c r="M33" s="12"/>
      <c r="N33" s="12"/>
      <c r="O33" s="12"/>
    </row>
    <row r="34" spans="1:15" ht="28.5" x14ac:dyDescent="0.25">
      <c r="A34" s="22">
        <v>4</v>
      </c>
      <c r="B34" s="26" t="s">
        <v>359</v>
      </c>
      <c r="C34" s="23" t="s">
        <v>28</v>
      </c>
      <c r="D34" s="20">
        <v>1</v>
      </c>
      <c r="E34" s="23">
        <v>10</v>
      </c>
      <c r="F34" s="25">
        <v>7500</v>
      </c>
      <c r="G34" s="25">
        <f t="shared" si="13"/>
        <v>75000</v>
      </c>
      <c r="H34" s="268">
        <f t="shared" si="16"/>
        <v>127.15312627153125</v>
      </c>
      <c r="I34" s="642">
        <f t="shared" si="14"/>
        <v>2250</v>
      </c>
      <c r="J34" s="642">
        <f>1600*D34</f>
        <v>1600</v>
      </c>
      <c r="K34" s="642">
        <f t="shared" si="15"/>
        <v>75000</v>
      </c>
      <c r="L34" s="12"/>
      <c r="M34" s="12"/>
      <c r="N34" s="12"/>
      <c r="O34" s="12"/>
    </row>
    <row r="35" spans="1:15" x14ac:dyDescent="0.25">
      <c r="A35" s="22">
        <v>5</v>
      </c>
      <c r="B35" s="26" t="s">
        <v>1364</v>
      </c>
      <c r="C35" s="23"/>
      <c r="D35" s="20">
        <v>42</v>
      </c>
      <c r="E35" s="23">
        <v>7</v>
      </c>
      <c r="F35" s="25">
        <v>3000</v>
      </c>
      <c r="G35" s="25">
        <f t="shared" si="13"/>
        <v>882000</v>
      </c>
      <c r="H35" s="268">
        <f t="shared" ref="H35" si="17">G35/589.84</f>
        <v>1495.3207649532076</v>
      </c>
      <c r="I35" s="642">
        <f t="shared" si="14"/>
        <v>26460</v>
      </c>
      <c r="J35" s="642">
        <f>550*D35</f>
        <v>23100</v>
      </c>
      <c r="K35" s="642">
        <f t="shared" si="15"/>
        <v>21000</v>
      </c>
      <c r="L35" s="12"/>
      <c r="M35" s="12"/>
      <c r="N35" s="12"/>
      <c r="O35" s="12"/>
    </row>
    <row r="36" spans="1:15" ht="28.5" x14ac:dyDescent="0.25">
      <c r="A36" s="22">
        <v>6</v>
      </c>
      <c r="B36" s="26" t="s">
        <v>1338</v>
      </c>
      <c r="C36" s="23" t="s">
        <v>28</v>
      </c>
      <c r="D36" s="20">
        <v>1</v>
      </c>
      <c r="E36" s="23">
        <v>10</v>
      </c>
      <c r="F36" s="25">
        <v>8000</v>
      </c>
      <c r="G36" s="25">
        <f t="shared" si="13"/>
        <v>80000</v>
      </c>
      <c r="H36" s="268">
        <f t="shared" si="16"/>
        <v>135.6300013563</v>
      </c>
      <c r="I36" s="642">
        <f t="shared" si="14"/>
        <v>2400</v>
      </c>
      <c r="J36" s="642">
        <f>1600*D36</f>
        <v>1600</v>
      </c>
      <c r="K36" s="642">
        <f t="shared" si="15"/>
        <v>80000</v>
      </c>
      <c r="L36" s="12"/>
      <c r="M36" s="12"/>
      <c r="N36" s="12"/>
      <c r="O36" s="12"/>
    </row>
    <row r="37" spans="1:15" ht="16.5" thickBot="1" x14ac:dyDescent="0.3">
      <c r="A37" s="22">
        <v>7</v>
      </c>
      <c r="B37" s="26" t="s">
        <v>387</v>
      </c>
      <c r="C37" s="23" t="s">
        <v>28</v>
      </c>
      <c r="D37" s="20">
        <v>3</v>
      </c>
      <c r="E37" s="23">
        <v>10</v>
      </c>
      <c r="F37" s="25">
        <v>8000</v>
      </c>
      <c r="G37" s="25">
        <f t="shared" si="13"/>
        <v>240000</v>
      </c>
      <c r="H37" s="268">
        <f t="shared" si="16"/>
        <v>406.8900040689</v>
      </c>
      <c r="I37" s="642">
        <f t="shared" si="14"/>
        <v>7200</v>
      </c>
      <c r="J37" s="642">
        <f>1600*D37</f>
        <v>4800</v>
      </c>
      <c r="K37" s="642">
        <f t="shared" si="15"/>
        <v>80000</v>
      </c>
      <c r="L37" s="12"/>
      <c r="M37" s="12"/>
      <c r="N37" s="12"/>
      <c r="O37" s="12"/>
    </row>
    <row r="38" spans="1:15" ht="18.75" thickBot="1" x14ac:dyDescent="0.3">
      <c r="A38" s="341"/>
      <c r="B38" s="342" t="s">
        <v>1423</v>
      </c>
      <c r="C38" s="343"/>
      <c r="D38" s="343"/>
      <c r="E38" s="343"/>
      <c r="F38" s="344"/>
      <c r="G38" s="344">
        <f>SUM(G32:G37)</f>
        <v>2897000</v>
      </c>
      <c r="H38" s="516">
        <f>SUM(H32:H37)</f>
        <v>4911.5014241150147</v>
      </c>
      <c r="I38" s="263">
        <f t="shared" ref="I38:J38" si="18">SUM(I32:I37)</f>
        <v>86910</v>
      </c>
      <c r="J38" s="263">
        <f t="shared" si="18"/>
        <v>69350</v>
      </c>
      <c r="K38" s="12"/>
      <c r="L38" s="12"/>
      <c r="M38" s="12"/>
      <c r="N38" s="12"/>
      <c r="O38" s="12"/>
    </row>
    <row r="39" spans="1:15" ht="16.5" thickBot="1" x14ac:dyDescent="0.3">
      <c r="A39" s="22">
        <v>1</v>
      </c>
      <c r="B39" s="26" t="s">
        <v>360</v>
      </c>
      <c r="C39" s="23" t="s">
        <v>28</v>
      </c>
      <c r="D39" s="20">
        <v>16</v>
      </c>
      <c r="E39" s="23">
        <v>10</v>
      </c>
      <c r="F39" s="25">
        <v>7500</v>
      </c>
      <c r="G39" s="25">
        <f t="shared" ref="G39:G44" si="19">D39*E39*F39</f>
        <v>1200000</v>
      </c>
      <c r="H39" s="544">
        <f>G39/589.84</f>
        <v>2034.4500203445</v>
      </c>
      <c r="I39" s="642">
        <f t="shared" ref="I39:I44" si="20">G39*0.03</f>
        <v>36000</v>
      </c>
      <c r="J39" s="642">
        <f>1600*D39</f>
        <v>25600</v>
      </c>
      <c r="K39" s="642">
        <f t="shared" ref="K39:K44" si="21">G39/D39</f>
        <v>75000</v>
      </c>
      <c r="L39" s="12"/>
      <c r="M39" s="12"/>
      <c r="N39" s="12"/>
      <c r="O39" s="12"/>
    </row>
    <row r="40" spans="1:15" x14ac:dyDescent="0.25">
      <c r="A40" s="22">
        <v>2</v>
      </c>
      <c r="B40" s="26" t="s">
        <v>361</v>
      </c>
      <c r="C40" s="23" t="s">
        <v>28</v>
      </c>
      <c r="D40" s="20">
        <v>8</v>
      </c>
      <c r="E40" s="23">
        <v>10</v>
      </c>
      <c r="F40" s="25">
        <v>3000</v>
      </c>
      <c r="G40" s="25">
        <f t="shared" si="19"/>
        <v>240000</v>
      </c>
      <c r="H40" s="268">
        <f t="shared" ref="H40:H44" si="22">G40/589.84</f>
        <v>406.8900040689</v>
      </c>
      <c r="I40" s="642">
        <f t="shared" si="20"/>
        <v>7200</v>
      </c>
      <c r="J40" s="642">
        <f>1050*D40</f>
        <v>8400</v>
      </c>
      <c r="K40" s="642">
        <f t="shared" si="21"/>
        <v>30000</v>
      </c>
      <c r="L40" s="12"/>
      <c r="M40" s="12"/>
      <c r="N40" s="12"/>
      <c r="O40" s="12"/>
    </row>
    <row r="41" spans="1:15" ht="28.5" x14ac:dyDescent="0.25">
      <c r="A41" s="22">
        <v>3</v>
      </c>
      <c r="B41" s="26" t="s">
        <v>362</v>
      </c>
      <c r="C41" s="23" t="s">
        <v>28</v>
      </c>
      <c r="D41" s="20">
        <v>1</v>
      </c>
      <c r="E41" s="23">
        <v>10</v>
      </c>
      <c r="F41" s="25">
        <v>7500</v>
      </c>
      <c r="G41" s="25">
        <f t="shared" si="19"/>
        <v>75000</v>
      </c>
      <c r="H41" s="268">
        <f t="shared" si="22"/>
        <v>127.15312627153125</v>
      </c>
      <c r="I41" s="642">
        <f t="shared" si="20"/>
        <v>2250</v>
      </c>
      <c r="J41" s="642">
        <f>1600*D41</f>
        <v>1600</v>
      </c>
      <c r="K41" s="642">
        <f t="shared" si="21"/>
        <v>75000</v>
      </c>
      <c r="L41" s="12"/>
      <c r="M41" s="12"/>
      <c r="N41" s="12"/>
      <c r="O41" s="12"/>
    </row>
    <row r="42" spans="1:15" x14ac:dyDescent="0.25">
      <c r="A42" s="22">
        <v>4</v>
      </c>
      <c r="B42" s="26" t="s">
        <v>1364</v>
      </c>
      <c r="C42" s="23" t="s">
        <v>28</v>
      </c>
      <c r="D42" s="20">
        <v>36</v>
      </c>
      <c r="E42" s="23">
        <v>7</v>
      </c>
      <c r="F42" s="25">
        <v>3000</v>
      </c>
      <c r="G42" s="25">
        <f t="shared" si="19"/>
        <v>756000</v>
      </c>
      <c r="H42" s="268">
        <f t="shared" si="22"/>
        <v>1281.7035128170351</v>
      </c>
      <c r="I42" s="642">
        <f t="shared" si="20"/>
        <v>22680</v>
      </c>
      <c r="J42" s="642">
        <f>550*D42</f>
        <v>19800</v>
      </c>
      <c r="K42" s="642">
        <f t="shared" si="21"/>
        <v>21000</v>
      </c>
      <c r="L42" s="12"/>
      <c r="M42" s="12"/>
      <c r="N42" s="12"/>
      <c r="O42" s="12"/>
    </row>
    <row r="43" spans="1:15" ht="28.5" x14ac:dyDescent="0.25">
      <c r="A43" s="22">
        <v>5</v>
      </c>
      <c r="B43" s="26" t="s">
        <v>1338</v>
      </c>
      <c r="C43" s="23" t="s">
        <v>28</v>
      </c>
      <c r="D43" s="20">
        <v>1</v>
      </c>
      <c r="E43" s="23">
        <v>10</v>
      </c>
      <c r="F43" s="25">
        <v>8000</v>
      </c>
      <c r="G43" s="25">
        <f t="shared" si="19"/>
        <v>80000</v>
      </c>
      <c r="H43" s="268">
        <f t="shared" si="22"/>
        <v>135.6300013563</v>
      </c>
      <c r="I43" s="642">
        <f t="shared" si="20"/>
        <v>2400</v>
      </c>
      <c r="J43" s="642">
        <f>1600*D43</f>
        <v>1600</v>
      </c>
      <c r="K43" s="642">
        <f t="shared" si="21"/>
        <v>80000</v>
      </c>
      <c r="L43" s="12"/>
      <c r="M43" s="12"/>
      <c r="N43" s="12"/>
      <c r="O43" s="12"/>
    </row>
    <row r="44" spans="1:15" ht="16.5" thickBot="1" x14ac:dyDescent="0.3">
      <c r="A44" s="22">
        <v>6</v>
      </c>
      <c r="B44" s="26" t="s">
        <v>388</v>
      </c>
      <c r="C44" s="23" t="s">
        <v>28</v>
      </c>
      <c r="D44" s="20">
        <v>2</v>
      </c>
      <c r="E44" s="23">
        <v>10</v>
      </c>
      <c r="F44" s="25">
        <v>8000</v>
      </c>
      <c r="G44" s="25">
        <f t="shared" si="19"/>
        <v>160000</v>
      </c>
      <c r="H44" s="268">
        <f t="shared" si="22"/>
        <v>271.2600027126</v>
      </c>
      <c r="I44" s="642">
        <f t="shared" si="20"/>
        <v>4800</v>
      </c>
      <c r="J44" s="642">
        <f>1600*D44</f>
        <v>3200</v>
      </c>
      <c r="K44" s="642">
        <f t="shared" si="21"/>
        <v>80000</v>
      </c>
      <c r="L44" s="12"/>
      <c r="M44" s="12"/>
      <c r="N44" s="12"/>
      <c r="O44" s="12"/>
    </row>
    <row r="45" spans="1:15" ht="18.75" thickBot="1" x14ac:dyDescent="0.3">
      <c r="A45" s="341"/>
      <c r="B45" s="342" t="s">
        <v>1423</v>
      </c>
      <c r="C45" s="343"/>
      <c r="D45" s="343"/>
      <c r="E45" s="343"/>
      <c r="F45" s="344"/>
      <c r="G45" s="344">
        <f>SUM(G39:G44)</f>
        <v>2511000</v>
      </c>
      <c r="H45" s="516">
        <f>SUM(H39:H44)</f>
        <v>4257.0866675708658</v>
      </c>
      <c r="I45" s="263">
        <f t="shared" ref="I45:J45" si="23">SUM(I39:I44)</f>
        <v>75330</v>
      </c>
      <c r="J45" s="263">
        <f t="shared" si="23"/>
        <v>60200</v>
      </c>
      <c r="K45" s="12"/>
      <c r="L45" s="12"/>
      <c r="M45" s="12"/>
      <c r="N45" s="12"/>
      <c r="O45" s="12"/>
    </row>
    <row r="46" spans="1:15" s="396" customFormat="1" ht="16.5" thickBot="1" x14ac:dyDescent="0.25">
      <c r="A46" s="392">
        <v>1</v>
      </c>
      <c r="B46" s="26" t="s">
        <v>363</v>
      </c>
      <c r="C46" s="23" t="s">
        <v>28</v>
      </c>
      <c r="D46" s="20">
        <v>8</v>
      </c>
      <c r="E46" s="23">
        <v>10</v>
      </c>
      <c r="F46" s="25">
        <v>7500</v>
      </c>
      <c r="G46" s="25">
        <f t="shared" ref="G46:G51" si="24">D46*E46*F46</f>
        <v>600000</v>
      </c>
      <c r="H46" s="544">
        <f>G46/589.84</f>
        <v>1017.22501017225</v>
      </c>
      <c r="I46" s="642">
        <f t="shared" ref="I46:I51" si="25">G46*0.03</f>
        <v>18000</v>
      </c>
      <c r="J46" s="642">
        <f>1600*D46</f>
        <v>12800</v>
      </c>
      <c r="K46" s="642">
        <f t="shared" ref="K46:K51" si="26">G46/D46</f>
        <v>75000</v>
      </c>
      <c r="L46" s="395"/>
      <c r="M46" s="395"/>
      <c r="N46" s="395"/>
      <c r="O46" s="395"/>
    </row>
    <row r="47" spans="1:15" s="396" customFormat="1" x14ac:dyDescent="0.2">
      <c r="A47" s="392">
        <v>2</v>
      </c>
      <c r="B47" s="26" t="s">
        <v>364</v>
      </c>
      <c r="C47" s="23" t="s">
        <v>28</v>
      </c>
      <c r="D47" s="20">
        <v>4</v>
      </c>
      <c r="E47" s="23">
        <v>10</v>
      </c>
      <c r="F47" s="25">
        <v>3000</v>
      </c>
      <c r="G47" s="25">
        <f t="shared" si="24"/>
        <v>120000</v>
      </c>
      <c r="H47" s="268">
        <f t="shared" ref="H47:H51" si="27">G47/589.84</f>
        <v>203.44500203445</v>
      </c>
      <c r="I47" s="642">
        <f t="shared" si="25"/>
        <v>3600</v>
      </c>
      <c r="J47" s="642">
        <f>1050*D47</f>
        <v>4200</v>
      </c>
      <c r="K47" s="642">
        <f t="shared" si="26"/>
        <v>30000</v>
      </c>
      <c r="L47" s="395"/>
      <c r="M47" s="395"/>
      <c r="N47" s="395"/>
      <c r="O47" s="395"/>
    </row>
    <row r="48" spans="1:15" s="396" customFormat="1" ht="28.5" x14ac:dyDescent="0.2">
      <c r="A48" s="392">
        <v>3</v>
      </c>
      <c r="B48" s="26" t="s">
        <v>365</v>
      </c>
      <c r="C48" s="23" t="s">
        <v>28</v>
      </c>
      <c r="D48" s="20">
        <v>1</v>
      </c>
      <c r="E48" s="23">
        <v>10</v>
      </c>
      <c r="F48" s="25">
        <v>7500</v>
      </c>
      <c r="G48" s="25">
        <f t="shared" si="24"/>
        <v>75000</v>
      </c>
      <c r="H48" s="425">
        <f t="shared" si="27"/>
        <v>127.15312627153125</v>
      </c>
      <c r="I48" s="642">
        <f t="shared" si="25"/>
        <v>2250</v>
      </c>
      <c r="J48" s="642">
        <f>1600*D48</f>
        <v>1600</v>
      </c>
      <c r="K48" s="642">
        <f t="shared" si="26"/>
        <v>75000</v>
      </c>
      <c r="L48" s="395"/>
      <c r="M48" s="395"/>
      <c r="N48" s="395"/>
      <c r="O48" s="395"/>
    </row>
    <row r="49" spans="1:15" s="396" customFormat="1" ht="18.75" customHeight="1" x14ac:dyDescent="0.2">
      <c r="A49" s="392">
        <v>4</v>
      </c>
      <c r="B49" s="26" t="s">
        <v>1364</v>
      </c>
      <c r="C49" s="23" t="s">
        <v>28</v>
      </c>
      <c r="D49" s="20">
        <v>31</v>
      </c>
      <c r="E49" s="23">
        <v>7</v>
      </c>
      <c r="F49" s="25">
        <v>3000</v>
      </c>
      <c r="G49" s="346">
        <f t="shared" si="24"/>
        <v>651000</v>
      </c>
      <c r="H49" s="435">
        <f t="shared" ref="H49" si="28">G49/589.84</f>
        <v>1103.6891360368913</v>
      </c>
      <c r="I49" s="642">
        <f t="shared" si="25"/>
        <v>19530</v>
      </c>
      <c r="J49" s="642">
        <f>550*D49</f>
        <v>17050</v>
      </c>
      <c r="K49" s="642">
        <f t="shared" si="26"/>
        <v>21000</v>
      </c>
      <c r="L49" s="395"/>
      <c r="M49" s="395"/>
      <c r="N49" s="395"/>
      <c r="O49" s="395"/>
    </row>
    <row r="50" spans="1:15" s="396" customFormat="1" ht="28.5" x14ac:dyDescent="0.2">
      <c r="A50" s="392">
        <v>5</v>
      </c>
      <c r="B50" s="26" t="s">
        <v>1338</v>
      </c>
      <c r="C50" s="23" t="s">
        <v>28</v>
      </c>
      <c r="D50" s="20">
        <v>1</v>
      </c>
      <c r="E50" s="23">
        <v>10</v>
      </c>
      <c r="F50" s="25">
        <v>8000</v>
      </c>
      <c r="G50" s="25">
        <f t="shared" si="24"/>
        <v>80000</v>
      </c>
      <c r="H50" s="268">
        <f t="shared" si="27"/>
        <v>135.6300013563</v>
      </c>
      <c r="I50" s="642">
        <f t="shared" si="25"/>
        <v>2400</v>
      </c>
      <c r="J50" s="642">
        <f>1600*D50</f>
        <v>1600</v>
      </c>
      <c r="K50" s="642">
        <f t="shared" si="26"/>
        <v>80000</v>
      </c>
      <c r="L50" s="395"/>
      <c r="M50" s="395"/>
      <c r="N50" s="395"/>
      <c r="O50" s="395"/>
    </row>
    <row r="51" spans="1:15" s="396" customFormat="1" ht="16.5" thickBot="1" x14ac:dyDescent="0.25">
      <c r="A51" s="392">
        <v>6</v>
      </c>
      <c r="B51" s="26" t="s">
        <v>389</v>
      </c>
      <c r="C51" s="23" t="s">
        <v>28</v>
      </c>
      <c r="D51" s="20">
        <v>1</v>
      </c>
      <c r="E51" s="23">
        <v>10</v>
      </c>
      <c r="F51" s="25">
        <v>8000</v>
      </c>
      <c r="G51" s="25">
        <f t="shared" si="24"/>
        <v>80000</v>
      </c>
      <c r="H51" s="268">
        <f t="shared" si="27"/>
        <v>135.6300013563</v>
      </c>
      <c r="I51" s="642">
        <f t="shared" si="25"/>
        <v>2400</v>
      </c>
      <c r="J51" s="642">
        <f>1600*D51</f>
        <v>1600</v>
      </c>
      <c r="K51" s="642">
        <f t="shared" si="26"/>
        <v>80000</v>
      </c>
      <c r="L51" s="395"/>
      <c r="M51" s="395"/>
      <c r="N51" s="395"/>
      <c r="O51" s="395"/>
    </row>
    <row r="52" spans="1:15" ht="18.75" thickBot="1" x14ac:dyDescent="0.3">
      <c r="A52" s="341"/>
      <c r="B52" s="342" t="s">
        <v>1422</v>
      </c>
      <c r="C52" s="343"/>
      <c r="D52" s="343"/>
      <c r="E52" s="343"/>
      <c r="F52" s="344"/>
      <c r="G52" s="691">
        <f>SUM(G46:G51)</f>
        <v>1606000</v>
      </c>
      <c r="H52" s="694">
        <f>SUM(H46:H51)</f>
        <v>2722.7722772277225</v>
      </c>
      <c r="I52" s="692">
        <f t="shared" ref="I52" si="29">SUM(I46:I51)</f>
        <v>48180</v>
      </c>
      <c r="J52" s="263">
        <f t="shared" ref="J52" si="30">SUM(J46:J51)</f>
        <v>38850</v>
      </c>
      <c r="K52" s="12"/>
      <c r="L52" s="12"/>
      <c r="M52" s="12"/>
      <c r="N52" s="12"/>
      <c r="O52" s="12"/>
    </row>
    <row r="53" spans="1:15" s="396" customFormat="1" ht="19.5" customHeight="1" x14ac:dyDescent="0.2">
      <c r="A53" s="22">
        <v>1</v>
      </c>
      <c r="B53" s="26" t="s">
        <v>327</v>
      </c>
      <c r="C53" s="23" t="s">
        <v>28</v>
      </c>
      <c r="D53" s="20">
        <v>2</v>
      </c>
      <c r="E53" s="23">
        <v>10</v>
      </c>
      <c r="F53" s="25">
        <v>7500</v>
      </c>
      <c r="G53" s="346">
        <f t="shared" ref="G53:G58" si="31">D53*E53*F53</f>
        <v>150000</v>
      </c>
      <c r="H53" s="693">
        <f>G53/589.84</f>
        <v>254.3062525430625</v>
      </c>
      <c r="I53" s="642">
        <f t="shared" ref="I53:I57" si="32">G53*0.03</f>
        <v>4500</v>
      </c>
      <c r="J53" s="642">
        <f>1600*D53</f>
        <v>3200</v>
      </c>
      <c r="K53" s="642">
        <f t="shared" ref="K53:K58" si="33">G53/D53</f>
        <v>75000</v>
      </c>
      <c r="L53" s="395"/>
      <c r="M53" s="395"/>
      <c r="N53" s="395"/>
      <c r="O53" s="395"/>
    </row>
    <row r="54" spans="1:15" s="396" customFormat="1" ht="19.5" customHeight="1" x14ac:dyDescent="0.2">
      <c r="A54" s="22">
        <v>2</v>
      </c>
      <c r="B54" s="26" t="s">
        <v>366</v>
      </c>
      <c r="C54" s="23" t="s">
        <v>28</v>
      </c>
      <c r="D54" s="20">
        <v>1</v>
      </c>
      <c r="E54" s="23">
        <v>10</v>
      </c>
      <c r="F54" s="25">
        <v>3000</v>
      </c>
      <c r="G54" s="25">
        <f t="shared" si="31"/>
        <v>30000</v>
      </c>
      <c r="H54" s="393">
        <f t="shared" ref="H54:H58" si="34">G54/589.84</f>
        <v>50.8612505086125</v>
      </c>
      <c r="I54" s="642">
        <f t="shared" si="32"/>
        <v>900</v>
      </c>
      <c r="J54" s="642">
        <f>1050*D54</f>
        <v>1050</v>
      </c>
      <c r="K54" s="642">
        <f t="shared" si="33"/>
        <v>30000</v>
      </c>
      <c r="L54" s="395"/>
      <c r="M54" s="395"/>
      <c r="N54" s="395"/>
      <c r="O54" s="395"/>
    </row>
    <row r="55" spans="1:15" s="396" customFormat="1" ht="28.5" x14ac:dyDescent="0.2">
      <c r="A55" s="22">
        <v>3</v>
      </c>
      <c r="B55" s="26" t="s">
        <v>367</v>
      </c>
      <c r="C55" s="23" t="s">
        <v>28</v>
      </c>
      <c r="D55" s="20">
        <v>1</v>
      </c>
      <c r="E55" s="23">
        <v>10</v>
      </c>
      <c r="F55" s="25">
        <v>7500</v>
      </c>
      <c r="G55" s="25">
        <f t="shared" si="31"/>
        <v>75000</v>
      </c>
      <c r="H55" s="393">
        <f t="shared" si="34"/>
        <v>127.15312627153125</v>
      </c>
      <c r="I55" s="642">
        <f t="shared" si="32"/>
        <v>2250</v>
      </c>
      <c r="J55" s="642">
        <f>1600*D55</f>
        <v>1600</v>
      </c>
      <c r="K55" s="642">
        <f t="shared" si="33"/>
        <v>75000</v>
      </c>
      <c r="L55" s="395"/>
      <c r="M55" s="395"/>
      <c r="N55" s="395"/>
      <c r="O55" s="395"/>
    </row>
    <row r="56" spans="1:15" s="396" customFormat="1" ht="21.75" customHeight="1" x14ac:dyDescent="0.2">
      <c r="A56" s="22">
        <v>4</v>
      </c>
      <c r="B56" s="26" t="s">
        <v>1364</v>
      </c>
      <c r="C56" s="23" t="s">
        <v>28</v>
      </c>
      <c r="D56" s="20">
        <v>7</v>
      </c>
      <c r="E56" s="23">
        <v>7</v>
      </c>
      <c r="F56" s="25">
        <v>3000</v>
      </c>
      <c r="G56" s="25">
        <f t="shared" si="31"/>
        <v>147000</v>
      </c>
      <c r="H56" s="393">
        <f t="shared" ref="H56" si="35">G56/589.84</f>
        <v>249.22012749220127</v>
      </c>
      <c r="I56" s="642">
        <f t="shared" si="32"/>
        <v>4410</v>
      </c>
      <c r="J56" s="642">
        <f>550*D56</f>
        <v>3850</v>
      </c>
      <c r="K56" s="642">
        <f t="shared" si="33"/>
        <v>21000</v>
      </c>
      <c r="L56" s="395"/>
      <c r="M56" s="395"/>
      <c r="N56" s="395"/>
      <c r="O56" s="395"/>
    </row>
    <row r="57" spans="1:15" s="396" customFormat="1" ht="28.5" x14ac:dyDescent="0.2">
      <c r="A57" s="22">
        <v>5</v>
      </c>
      <c r="B57" s="26" t="s">
        <v>1338</v>
      </c>
      <c r="C57" s="23" t="s">
        <v>28</v>
      </c>
      <c r="D57" s="20">
        <v>1</v>
      </c>
      <c r="E57" s="23">
        <v>10</v>
      </c>
      <c r="F57" s="25">
        <v>8000</v>
      </c>
      <c r="G57" s="25">
        <f t="shared" si="31"/>
        <v>80000</v>
      </c>
      <c r="H57" s="393">
        <f t="shared" si="34"/>
        <v>135.6300013563</v>
      </c>
      <c r="I57" s="642">
        <f t="shared" si="32"/>
        <v>2400</v>
      </c>
      <c r="J57" s="642">
        <f>1600*D57</f>
        <v>1600</v>
      </c>
      <c r="K57" s="642">
        <f t="shared" si="33"/>
        <v>80000</v>
      </c>
      <c r="L57" s="395"/>
      <c r="M57" s="395"/>
      <c r="N57" s="395"/>
      <c r="O57" s="395"/>
    </row>
    <row r="58" spans="1:15" s="396" customFormat="1" thickBot="1" x14ac:dyDescent="0.25">
      <c r="A58" s="22">
        <v>6</v>
      </c>
      <c r="B58" s="26" t="s">
        <v>390</v>
      </c>
      <c r="C58" s="23" t="s">
        <v>28</v>
      </c>
      <c r="D58" s="20">
        <v>1</v>
      </c>
      <c r="E58" s="23">
        <v>10</v>
      </c>
      <c r="F58" s="25">
        <v>8000</v>
      </c>
      <c r="G58" s="25">
        <f t="shared" si="31"/>
        <v>80000</v>
      </c>
      <c r="H58" s="393">
        <f t="shared" si="34"/>
        <v>135.6300013563</v>
      </c>
      <c r="I58" s="642">
        <f>G58*0.03</f>
        <v>2400</v>
      </c>
      <c r="J58" s="642">
        <f>1600*D58</f>
        <v>1600</v>
      </c>
      <c r="K58" s="642">
        <f t="shared" si="33"/>
        <v>80000</v>
      </c>
      <c r="L58" s="395"/>
      <c r="M58" s="395"/>
      <c r="N58" s="395"/>
      <c r="O58" s="395"/>
    </row>
    <row r="59" spans="1:15" ht="18.75" thickBot="1" x14ac:dyDescent="0.3">
      <c r="A59" s="341"/>
      <c r="B59" s="342" t="s">
        <v>1422</v>
      </c>
      <c r="C59" s="343"/>
      <c r="D59" s="343"/>
      <c r="E59" s="343"/>
      <c r="F59" s="344"/>
      <c r="G59" s="691">
        <f>SUM(G53:G58)</f>
        <v>562000</v>
      </c>
      <c r="H59" s="694">
        <f>SUM(H53:H58)</f>
        <v>952.80075952800757</v>
      </c>
      <c r="I59" s="692">
        <f>SUM(I53:I58)</f>
        <v>16860</v>
      </c>
      <c r="J59" s="263">
        <f>SUM(J53:J58)</f>
        <v>12900</v>
      </c>
      <c r="K59" s="12"/>
      <c r="L59" s="12"/>
      <c r="M59" s="12"/>
      <c r="N59" s="12"/>
      <c r="O59" s="12"/>
    </row>
    <row r="60" spans="1:15" s="396" customFormat="1" ht="15" x14ac:dyDescent="0.2">
      <c r="A60" s="22">
        <v>1</v>
      </c>
      <c r="B60" s="26" t="s">
        <v>328</v>
      </c>
      <c r="C60" s="23" t="s">
        <v>28</v>
      </c>
      <c r="D60" s="20">
        <v>10</v>
      </c>
      <c r="E60" s="23">
        <v>10</v>
      </c>
      <c r="F60" s="25">
        <v>7500</v>
      </c>
      <c r="G60" s="346">
        <f t="shared" ref="G60:G65" si="36">D60*E60*F60</f>
        <v>750000</v>
      </c>
      <c r="H60" s="693">
        <f>G60/589.84</f>
        <v>1271.5312627153126</v>
      </c>
      <c r="I60" s="642">
        <f t="shared" ref="I60:I65" si="37">G60*0.03</f>
        <v>22500</v>
      </c>
      <c r="J60" s="642">
        <f>1600*D60</f>
        <v>16000</v>
      </c>
      <c r="K60" s="642">
        <f t="shared" ref="K60:K65" si="38">G60/D60</f>
        <v>75000</v>
      </c>
      <c r="L60" s="395"/>
      <c r="M60" s="395"/>
      <c r="N60" s="395"/>
      <c r="O60" s="395"/>
    </row>
    <row r="61" spans="1:15" s="396" customFormat="1" ht="15" x14ac:dyDescent="0.2">
      <c r="A61" s="22">
        <v>2</v>
      </c>
      <c r="B61" s="26" t="s">
        <v>368</v>
      </c>
      <c r="C61" s="23" t="s">
        <v>28</v>
      </c>
      <c r="D61" s="20">
        <v>5</v>
      </c>
      <c r="E61" s="23">
        <v>10</v>
      </c>
      <c r="F61" s="25">
        <v>3000</v>
      </c>
      <c r="G61" s="25">
        <f t="shared" si="36"/>
        <v>150000</v>
      </c>
      <c r="H61" s="393">
        <f t="shared" ref="H61:H65" si="39">G61/589.84</f>
        <v>254.3062525430625</v>
      </c>
      <c r="I61" s="642">
        <f t="shared" si="37"/>
        <v>4500</v>
      </c>
      <c r="J61" s="642">
        <f>1050*D61</f>
        <v>5250</v>
      </c>
      <c r="K61" s="642">
        <f t="shared" si="38"/>
        <v>30000</v>
      </c>
      <c r="L61" s="395"/>
      <c r="M61" s="395"/>
      <c r="N61" s="395"/>
      <c r="O61" s="395"/>
    </row>
    <row r="62" spans="1:15" s="396" customFormat="1" ht="28.5" x14ac:dyDescent="0.2">
      <c r="A62" s="22">
        <v>3</v>
      </c>
      <c r="B62" s="26" t="s">
        <v>369</v>
      </c>
      <c r="C62" s="23" t="s">
        <v>28</v>
      </c>
      <c r="D62" s="20">
        <v>1</v>
      </c>
      <c r="E62" s="23">
        <v>10</v>
      </c>
      <c r="F62" s="25">
        <v>7500</v>
      </c>
      <c r="G62" s="25">
        <f t="shared" si="36"/>
        <v>75000</v>
      </c>
      <c r="H62" s="393">
        <f t="shared" si="39"/>
        <v>127.15312627153125</v>
      </c>
      <c r="I62" s="642">
        <f t="shared" si="37"/>
        <v>2250</v>
      </c>
      <c r="J62" s="642">
        <f>1600*D62</f>
        <v>1600</v>
      </c>
      <c r="K62" s="642">
        <f t="shared" si="38"/>
        <v>75000</v>
      </c>
      <c r="L62" s="395"/>
      <c r="M62" s="395"/>
      <c r="N62" s="395"/>
      <c r="O62" s="395"/>
    </row>
    <row r="63" spans="1:15" s="396" customFormat="1" ht="15" x14ac:dyDescent="0.2">
      <c r="A63" s="22">
        <v>4</v>
      </c>
      <c r="B63" s="26" t="s">
        <v>1364</v>
      </c>
      <c r="C63" s="23" t="s">
        <v>28</v>
      </c>
      <c r="D63" s="20">
        <v>42</v>
      </c>
      <c r="E63" s="23">
        <v>7</v>
      </c>
      <c r="F63" s="25">
        <v>3000</v>
      </c>
      <c r="G63" s="25">
        <f t="shared" si="36"/>
        <v>882000</v>
      </c>
      <c r="H63" s="393">
        <f t="shared" ref="H63" si="40">G63/589.84</f>
        <v>1495.3207649532076</v>
      </c>
      <c r="I63" s="642">
        <f t="shared" si="37"/>
        <v>26460</v>
      </c>
      <c r="J63" s="642">
        <f>550*D63</f>
        <v>23100</v>
      </c>
      <c r="K63" s="642">
        <f t="shared" si="38"/>
        <v>21000</v>
      </c>
      <c r="L63" s="395"/>
      <c r="M63" s="395"/>
      <c r="N63" s="395"/>
      <c r="O63" s="395"/>
    </row>
    <row r="64" spans="1:15" s="396" customFormat="1" ht="28.5" x14ac:dyDescent="0.2">
      <c r="A64" s="22">
        <v>5</v>
      </c>
      <c r="B64" s="26" t="s">
        <v>1338</v>
      </c>
      <c r="C64" s="23" t="s">
        <v>28</v>
      </c>
      <c r="D64" s="20">
        <v>1</v>
      </c>
      <c r="E64" s="23">
        <v>10</v>
      </c>
      <c r="F64" s="25">
        <v>7500</v>
      </c>
      <c r="G64" s="25">
        <f t="shared" si="36"/>
        <v>75000</v>
      </c>
      <c r="H64" s="393">
        <f t="shared" si="39"/>
        <v>127.15312627153125</v>
      </c>
      <c r="I64" s="642">
        <f t="shared" si="37"/>
        <v>2250</v>
      </c>
      <c r="J64" s="642">
        <f>1600*D64</f>
        <v>1600</v>
      </c>
      <c r="K64" s="642">
        <f t="shared" si="38"/>
        <v>75000</v>
      </c>
      <c r="L64" s="395"/>
      <c r="M64" s="395"/>
      <c r="N64" s="395"/>
      <c r="O64" s="395"/>
    </row>
    <row r="65" spans="1:15" s="396" customFormat="1" ht="29.25" thickBot="1" x14ac:dyDescent="0.25">
      <c r="A65" s="22">
        <v>6</v>
      </c>
      <c r="B65" s="26" t="s">
        <v>391</v>
      </c>
      <c r="C65" s="23" t="s">
        <v>28</v>
      </c>
      <c r="D65" s="20">
        <v>2</v>
      </c>
      <c r="E65" s="23">
        <v>10</v>
      </c>
      <c r="F65" s="25">
        <v>8000</v>
      </c>
      <c r="G65" s="25">
        <f t="shared" si="36"/>
        <v>160000</v>
      </c>
      <c r="H65" s="393">
        <f t="shared" si="39"/>
        <v>271.2600027126</v>
      </c>
      <c r="I65" s="642">
        <f t="shared" si="37"/>
        <v>4800</v>
      </c>
      <c r="J65" s="642">
        <f>1600*D65</f>
        <v>3200</v>
      </c>
      <c r="K65" s="642">
        <f t="shared" si="38"/>
        <v>80000</v>
      </c>
      <c r="L65" s="395"/>
      <c r="M65" s="395"/>
      <c r="N65" s="395"/>
      <c r="O65" s="395"/>
    </row>
    <row r="66" spans="1:15" ht="18.75" thickBot="1" x14ac:dyDescent="0.3">
      <c r="A66" s="341"/>
      <c r="B66" s="342" t="s">
        <v>1422</v>
      </c>
      <c r="C66" s="343"/>
      <c r="D66" s="343"/>
      <c r="E66" s="343"/>
      <c r="F66" s="344"/>
      <c r="G66" s="344">
        <f>SUM(G60:G65)</f>
        <v>2092000</v>
      </c>
      <c r="H66" s="516">
        <f>SUM(H60:H65)</f>
        <v>3546.724535467245</v>
      </c>
      <c r="I66" s="263">
        <f>SUM(I60:I65)</f>
        <v>62760</v>
      </c>
      <c r="J66" s="263">
        <f>SUM(J60:J65)</f>
        <v>50750</v>
      </c>
      <c r="K66" s="12"/>
      <c r="L66" s="12"/>
      <c r="M66" s="12"/>
      <c r="N66" s="12"/>
      <c r="O66" s="12"/>
    </row>
    <row r="67" spans="1:15" s="396" customFormat="1" thickBot="1" x14ac:dyDescent="0.25">
      <c r="A67" s="22">
        <v>1</v>
      </c>
      <c r="B67" s="26" t="s">
        <v>370</v>
      </c>
      <c r="C67" s="23" t="s">
        <v>28</v>
      </c>
      <c r="D67" s="20">
        <v>6</v>
      </c>
      <c r="E67" s="23">
        <v>10</v>
      </c>
      <c r="F67" s="25">
        <v>7500</v>
      </c>
      <c r="G67" s="25">
        <f t="shared" ref="G67:G72" si="41">D67*E67*F67</f>
        <v>450000</v>
      </c>
      <c r="H67" s="604">
        <f>G67/589.84</f>
        <v>762.91875762918755</v>
      </c>
      <c r="I67" s="642">
        <f t="shared" ref="I67:I72" si="42">G67*0.03</f>
        <v>13500</v>
      </c>
      <c r="J67" s="642">
        <f>1600*D67</f>
        <v>9600</v>
      </c>
      <c r="K67" s="642">
        <f t="shared" ref="K67:K72" si="43">G67/D67</f>
        <v>75000</v>
      </c>
      <c r="L67" s="395"/>
      <c r="M67" s="395"/>
      <c r="N67" s="395"/>
      <c r="O67" s="395"/>
    </row>
    <row r="68" spans="1:15" s="396" customFormat="1" ht="15" x14ac:dyDescent="0.2">
      <c r="A68" s="22">
        <v>2</v>
      </c>
      <c r="B68" s="26" t="s">
        <v>371</v>
      </c>
      <c r="C68" s="23" t="s">
        <v>28</v>
      </c>
      <c r="D68" s="20">
        <v>3</v>
      </c>
      <c r="E68" s="23">
        <v>10</v>
      </c>
      <c r="F68" s="25">
        <v>3000</v>
      </c>
      <c r="G68" s="25">
        <f t="shared" si="41"/>
        <v>90000</v>
      </c>
      <c r="H68" s="393">
        <f t="shared" ref="H68:H72" si="44">G68/589.84</f>
        <v>152.5837515258375</v>
      </c>
      <c r="I68" s="642">
        <f t="shared" si="42"/>
        <v>2700</v>
      </c>
      <c r="J68" s="642">
        <f>1050*D68</f>
        <v>3150</v>
      </c>
      <c r="K68" s="642">
        <f t="shared" si="43"/>
        <v>30000</v>
      </c>
      <c r="L68" s="395"/>
      <c r="M68" s="395"/>
      <c r="N68" s="395"/>
      <c r="O68" s="395"/>
    </row>
    <row r="69" spans="1:15" s="396" customFormat="1" ht="28.5" x14ac:dyDescent="0.2">
      <c r="A69" s="22">
        <v>3</v>
      </c>
      <c r="B69" s="26" t="s">
        <v>372</v>
      </c>
      <c r="C69" s="23" t="s">
        <v>28</v>
      </c>
      <c r="D69" s="20">
        <v>1</v>
      </c>
      <c r="E69" s="23">
        <v>10</v>
      </c>
      <c r="F69" s="25">
        <v>7500</v>
      </c>
      <c r="G69" s="25">
        <f t="shared" si="41"/>
        <v>75000</v>
      </c>
      <c r="H69" s="393">
        <f t="shared" si="44"/>
        <v>127.15312627153125</v>
      </c>
      <c r="I69" s="642">
        <f t="shared" si="42"/>
        <v>2250</v>
      </c>
      <c r="J69" s="642">
        <f>1600*D69</f>
        <v>1600</v>
      </c>
      <c r="K69" s="642">
        <f t="shared" si="43"/>
        <v>75000</v>
      </c>
      <c r="L69" s="395"/>
      <c r="M69" s="395"/>
      <c r="N69" s="395"/>
      <c r="O69" s="395"/>
    </row>
    <row r="70" spans="1:15" s="396" customFormat="1" ht="15" x14ac:dyDescent="0.2">
      <c r="A70" s="22">
        <v>4</v>
      </c>
      <c r="B70" s="26" t="s">
        <v>1364</v>
      </c>
      <c r="C70" s="23" t="s">
        <v>28</v>
      </c>
      <c r="D70" s="20">
        <v>23</v>
      </c>
      <c r="E70" s="23">
        <v>7</v>
      </c>
      <c r="F70" s="25">
        <v>3000</v>
      </c>
      <c r="G70" s="25">
        <f t="shared" si="41"/>
        <v>483000</v>
      </c>
      <c r="H70" s="393">
        <f t="shared" ref="H70" si="45">G70/589.84</f>
        <v>818.86613318866125</v>
      </c>
      <c r="I70" s="642">
        <f t="shared" si="42"/>
        <v>14490</v>
      </c>
      <c r="J70" s="642">
        <f>550*D70</f>
        <v>12650</v>
      </c>
      <c r="K70" s="642">
        <f t="shared" si="43"/>
        <v>21000</v>
      </c>
      <c r="L70" s="395"/>
      <c r="M70" s="395"/>
      <c r="N70" s="395"/>
      <c r="O70" s="395"/>
    </row>
    <row r="71" spans="1:15" s="396" customFormat="1" ht="28.5" x14ac:dyDescent="0.2">
      <c r="A71" s="22">
        <v>5</v>
      </c>
      <c r="B71" s="26" t="s">
        <v>1338</v>
      </c>
      <c r="C71" s="23" t="s">
        <v>28</v>
      </c>
      <c r="D71" s="20">
        <v>1</v>
      </c>
      <c r="E71" s="23">
        <v>10</v>
      </c>
      <c r="F71" s="25">
        <v>7500</v>
      </c>
      <c r="G71" s="25">
        <f t="shared" si="41"/>
        <v>75000</v>
      </c>
      <c r="H71" s="393">
        <f t="shared" ref="H71" si="46">G71/589.84</f>
        <v>127.15312627153125</v>
      </c>
      <c r="I71" s="642">
        <f t="shared" si="42"/>
        <v>2250</v>
      </c>
      <c r="J71" s="642">
        <f>1600*D71</f>
        <v>1600</v>
      </c>
      <c r="K71" s="642">
        <f t="shared" si="43"/>
        <v>75000</v>
      </c>
      <c r="L71" s="395"/>
      <c r="M71" s="395"/>
      <c r="N71" s="395"/>
      <c r="O71" s="395"/>
    </row>
    <row r="72" spans="1:15" s="396" customFormat="1" thickBot="1" x14ac:dyDescent="0.25">
      <c r="A72" s="22">
        <v>6</v>
      </c>
      <c r="B72" s="26" t="s">
        <v>392</v>
      </c>
      <c r="C72" s="23" t="s">
        <v>28</v>
      </c>
      <c r="D72" s="20">
        <v>1</v>
      </c>
      <c r="E72" s="23">
        <v>10</v>
      </c>
      <c r="F72" s="25">
        <v>8000</v>
      </c>
      <c r="G72" s="25">
        <f t="shared" si="41"/>
        <v>80000</v>
      </c>
      <c r="H72" s="393">
        <f t="shared" si="44"/>
        <v>135.6300013563</v>
      </c>
      <c r="I72" s="642">
        <f t="shared" si="42"/>
        <v>2400</v>
      </c>
      <c r="J72" s="642">
        <f>1600*D72</f>
        <v>1600</v>
      </c>
      <c r="K72" s="642">
        <f t="shared" si="43"/>
        <v>80000</v>
      </c>
      <c r="L72" s="395"/>
      <c r="M72" s="395"/>
      <c r="N72" s="395"/>
      <c r="O72" s="395"/>
    </row>
    <row r="73" spans="1:15" ht="18.75" thickBot="1" x14ac:dyDescent="0.3">
      <c r="A73" s="341"/>
      <c r="B73" s="342" t="s">
        <v>1422</v>
      </c>
      <c r="C73" s="343"/>
      <c r="D73" s="343"/>
      <c r="E73" s="343"/>
      <c r="F73" s="344"/>
      <c r="G73" s="344">
        <f>SUM(G67:G72)</f>
        <v>1253000</v>
      </c>
      <c r="H73" s="516">
        <f>SUM(H67:H72)</f>
        <v>2124.3048962430485</v>
      </c>
      <c r="I73" s="263">
        <f>SUM(I67:I72)</f>
        <v>37590</v>
      </c>
      <c r="J73" s="263">
        <f>SUM(J67:J72)</f>
        <v>30200</v>
      </c>
      <c r="K73" s="12"/>
      <c r="L73" s="12"/>
      <c r="M73" s="12"/>
      <c r="N73" s="12"/>
      <c r="O73" s="12"/>
    </row>
    <row r="74" spans="1:15" ht="16.5" thickBot="1" x14ac:dyDescent="0.3">
      <c r="A74" s="22">
        <v>1</v>
      </c>
      <c r="B74" s="26" t="s">
        <v>373</v>
      </c>
      <c r="C74" s="23" t="s">
        <v>28</v>
      </c>
      <c r="D74" s="20">
        <v>8</v>
      </c>
      <c r="E74" s="23">
        <v>10</v>
      </c>
      <c r="F74" s="25">
        <v>7500</v>
      </c>
      <c r="G74" s="25">
        <f t="shared" ref="G74:G79" si="47">D74*E74*F74</f>
        <v>600000</v>
      </c>
      <c r="H74" s="544">
        <f>G74/589.84</f>
        <v>1017.22501017225</v>
      </c>
      <c r="I74" s="642">
        <f t="shared" ref="I74:I79" si="48">G74*0.03</f>
        <v>18000</v>
      </c>
      <c r="J74" s="642">
        <f>1600*D74</f>
        <v>12800</v>
      </c>
      <c r="K74" s="642">
        <f t="shared" ref="K74:K79" si="49">G74/D74</f>
        <v>75000</v>
      </c>
      <c r="L74" s="12"/>
      <c r="M74" s="12"/>
      <c r="N74" s="12"/>
      <c r="O74" s="12"/>
    </row>
    <row r="75" spans="1:15" x14ac:dyDescent="0.25">
      <c r="A75" s="22">
        <v>2</v>
      </c>
      <c r="B75" s="26" t="s">
        <v>374</v>
      </c>
      <c r="C75" s="23" t="s">
        <v>28</v>
      </c>
      <c r="D75" s="20">
        <v>4</v>
      </c>
      <c r="E75" s="23">
        <v>10</v>
      </c>
      <c r="F75" s="25">
        <v>3000</v>
      </c>
      <c r="G75" s="25">
        <f t="shared" si="47"/>
        <v>120000</v>
      </c>
      <c r="H75" s="268">
        <f t="shared" ref="H75:H79" si="50">G75/589.84</f>
        <v>203.44500203445</v>
      </c>
      <c r="I75" s="642">
        <f t="shared" si="48"/>
        <v>3600</v>
      </c>
      <c r="J75" s="642">
        <f>1050*D75</f>
        <v>4200</v>
      </c>
      <c r="K75" s="642">
        <f t="shared" si="49"/>
        <v>30000</v>
      </c>
      <c r="L75" s="12"/>
      <c r="M75" s="12"/>
      <c r="N75" s="12"/>
      <c r="O75" s="12"/>
    </row>
    <row r="76" spans="1:15" ht="21.75" customHeight="1" x14ac:dyDescent="0.25">
      <c r="A76" s="22">
        <v>3</v>
      </c>
      <c r="B76" s="26" t="s">
        <v>375</v>
      </c>
      <c r="C76" s="23" t="s">
        <v>28</v>
      </c>
      <c r="D76" s="20">
        <v>1</v>
      </c>
      <c r="E76" s="23">
        <v>10</v>
      </c>
      <c r="F76" s="25">
        <v>7500</v>
      </c>
      <c r="G76" s="25">
        <f t="shared" si="47"/>
        <v>75000</v>
      </c>
      <c r="H76" s="268">
        <f t="shared" si="50"/>
        <v>127.15312627153125</v>
      </c>
      <c r="I76" s="642">
        <f t="shared" si="48"/>
        <v>2250</v>
      </c>
      <c r="J76" s="642">
        <f>1600*D76</f>
        <v>1600</v>
      </c>
      <c r="K76" s="642">
        <f t="shared" si="49"/>
        <v>75000</v>
      </c>
      <c r="L76" s="12"/>
      <c r="M76" s="12"/>
      <c r="N76" s="12"/>
      <c r="O76" s="12"/>
    </row>
    <row r="77" spans="1:15" ht="21.75" customHeight="1" x14ac:dyDescent="0.25">
      <c r="A77" s="22">
        <v>4</v>
      </c>
      <c r="B77" s="26" t="s">
        <v>1364</v>
      </c>
      <c r="C77" s="23" t="s">
        <v>28</v>
      </c>
      <c r="D77" s="20">
        <v>23</v>
      </c>
      <c r="E77" s="23">
        <v>7</v>
      </c>
      <c r="F77" s="25">
        <v>3000</v>
      </c>
      <c r="G77" s="25">
        <f t="shared" si="47"/>
        <v>483000</v>
      </c>
      <c r="H77" s="268">
        <f t="shared" ref="H77" si="51">G77/589.84</f>
        <v>818.86613318866125</v>
      </c>
      <c r="I77" s="642">
        <f t="shared" si="48"/>
        <v>14490</v>
      </c>
      <c r="J77" s="642">
        <f>550*D77</f>
        <v>12650</v>
      </c>
      <c r="K77" s="642">
        <f t="shared" si="49"/>
        <v>21000</v>
      </c>
      <c r="L77" s="12"/>
      <c r="M77" s="12"/>
      <c r="N77" s="12"/>
      <c r="O77" s="12"/>
    </row>
    <row r="78" spans="1:15" ht="28.5" x14ac:dyDescent="0.25">
      <c r="A78" s="22">
        <v>5</v>
      </c>
      <c r="B78" s="26" t="s">
        <v>1338</v>
      </c>
      <c r="C78" s="23" t="s">
        <v>28</v>
      </c>
      <c r="D78" s="20">
        <v>1</v>
      </c>
      <c r="E78" s="23">
        <v>10</v>
      </c>
      <c r="F78" s="25">
        <v>8000</v>
      </c>
      <c r="G78" s="25">
        <f t="shared" si="47"/>
        <v>80000</v>
      </c>
      <c r="H78" s="268">
        <f t="shared" ref="H78" si="52">G78/589.84</f>
        <v>135.6300013563</v>
      </c>
      <c r="I78" s="642">
        <f t="shared" si="48"/>
        <v>2400</v>
      </c>
      <c r="J78" s="642">
        <f>1600*D78</f>
        <v>1600</v>
      </c>
      <c r="K78" s="642">
        <f t="shared" si="49"/>
        <v>80000</v>
      </c>
      <c r="L78" s="12"/>
      <c r="M78" s="12"/>
      <c r="N78" s="12"/>
      <c r="O78" s="12"/>
    </row>
    <row r="79" spans="1:15" ht="16.5" thickBot="1" x14ac:dyDescent="0.3">
      <c r="A79" s="22">
        <v>6</v>
      </c>
      <c r="B79" s="26" t="s">
        <v>393</v>
      </c>
      <c r="C79" s="23" t="s">
        <v>28</v>
      </c>
      <c r="D79" s="20">
        <v>1</v>
      </c>
      <c r="E79" s="23">
        <v>10</v>
      </c>
      <c r="F79" s="25">
        <v>8000</v>
      </c>
      <c r="G79" s="25">
        <f t="shared" si="47"/>
        <v>80000</v>
      </c>
      <c r="H79" s="268">
        <f t="shared" si="50"/>
        <v>135.6300013563</v>
      </c>
      <c r="I79" s="642">
        <f t="shared" si="48"/>
        <v>2400</v>
      </c>
      <c r="J79" s="642">
        <f>1600*D79</f>
        <v>1600</v>
      </c>
      <c r="K79" s="642">
        <f t="shared" si="49"/>
        <v>80000</v>
      </c>
      <c r="L79" s="12"/>
      <c r="M79" s="12"/>
      <c r="N79" s="12"/>
      <c r="O79" s="12"/>
    </row>
    <row r="80" spans="1:15" ht="18.75" thickBot="1" x14ac:dyDescent="0.3">
      <c r="A80" s="341"/>
      <c r="B80" s="342" t="s">
        <v>1422</v>
      </c>
      <c r="C80" s="343"/>
      <c r="D80" s="343"/>
      <c r="E80" s="343"/>
      <c r="F80" s="344"/>
      <c r="G80" s="344">
        <f>SUM(G74:G79)</f>
        <v>1438000</v>
      </c>
      <c r="H80" s="516">
        <f>SUM(H74:H79)</f>
        <v>2437.9492743794926</v>
      </c>
      <c r="I80" s="263">
        <f>SUM(I74:I79)</f>
        <v>43140</v>
      </c>
      <c r="J80" s="263">
        <f>SUM(J74:J79)</f>
        <v>34450</v>
      </c>
      <c r="K80" s="12"/>
      <c r="L80" s="12"/>
      <c r="M80" s="12"/>
      <c r="N80" s="12"/>
      <c r="O80" s="12"/>
    </row>
    <row r="81" spans="1:15" ht="16.5" thickBot="1" x14ac:dyDescent="0.3">
      <c r="A81" s="22">
        <v>1</v>
      </c>
      <c r="B81" s="26" t="s">
        <v>376</v>
      </c>
      <c r="C81" s="23" t="s">
        <v>28</v>
      </c>
      <c r="D81" s="20">
        <v>8</v>
      </c>
      <c r="E81" s="23">
        <v>10</v>
      </c>
      <c r="F81" s="25">
        <v>7500</v>
      </c>
      <c r="G81" s="25">
        <f t="shared" ref="G81:G86" si="53">D81*E81*F81</f>
        <v>600000</v>
      </c>
      <c r="H81" s="544">
        <f>G81/589.84</f>
        <v>1017.22501017225</v>
      </c>
      <c r="I81" s="642">
        <f t="shared" ref="I81:I86" si="54">G81*0.03</f>
        <v>18000</v>
      </c>
      <c r="J81" s="642">
        <f>1600*D81</f>
        <v>12800</v>
      </c>
      <c r="K81" s="642">
        <f t="shared" ref="K81:K86" si="55">G81/D81</f>
        <v>75000</v>
      </c>
      <c r="L81" s="12"/>
      <c r="M81" s="12"/>
      <c r="N81" s="12"/>
      <c r="O81" s="12"/>
    </row>
    <row r="82" spans="1:15" x14ac:dyDescent="0.25">
      <c r="A82" s="22">
        <v>2</v>
      </c>
      <c r="B82" s="26" t="s">
        <v>377</v>
      </c>
      <c r="C82" s="23" t="s">
        <v>28</v>
      </c>
      <c r="D82" s="20">
        <v>4</v>
      </c>
      <c r="E82" s="23">
        <v>10</v>
      </c>
      <c r="F82" s="25">
        <v>3000</v>
      </c>
      <c r="G82" s="25">
        <f t="shared" si="53"/>
        <v>120000</v>
      </c>
      <c r="H82" s="268">
        <f t="shared" ref="H82:H86" si="56">G82/589.84</f>
        <v>203.44500203445</v>
      </c>
      <c r="I82" s="642">
        <f t="shared" si="54"/>
        <v>3600</v>
      </c>
      <c r="J82" s="642">
        <f>1050*D82</f>
        <v>4200</v>
      </c>
      <c r="K82" s="642">
        <f t="shared" si="55"/>
        <v>30000</v>
      </c>
      <c r="L82" s="12"/>
      <c r="M82" s="12"/>
      <c r="N82" s="12"/>
      <c r="O82" s="12"/>
    </row>
    <row r="83" spans="1:15" ht="28.5" x14ac:dyDescent="0.25">
      <c r="A83" s="22">
        <v>3</v>
      </c>
      <c r="B83" s="26" t="s">
        <v>378</v>
      </c>
      <c r="C83" s="23" t="s">
        <v>28</v>
      </c>
      <c r="D83" s="20">
        <v>1</v>
      </c>
      <c r="E83" s="23">
        <v>10</v>
      </c>
      <c r="F83" s="25">
        <v>7500</v>
      </c>
      <c r="G83" s="25">
        <f t="shared" si="53"/>
        <v>75000</v>
      </c>
      <c r="H83" s="268">
        <f t="shared" si="56"/>
        <v>127.15312627153125</v>
      </c>
      <c r="I83" s="642">
        <f t="shared" si="54"/>
        <v>2250</v>
      </c>
      <c r="J83" s="642">
        <f>1600*D83</f>
        <v>1600</v>
      </c>
      <c r="K83" s="642">
        <f t="shared" si="55"/>
        <v>75000</v>
      </c>
      <c r="L83" s="12"/>
      <c r="M83" s="12"/>
      <c r="N83" s="12"/>
      <c r="O83" s="12"/>
    </row>
    <row r="84" spans="1:15" x14ac:dyDescent="0.25">
      <c r="A84" s="22">
        <v>4</v>
      </c>
      <c r="B84" s="26" t="s">
        <v>1364</v>
      </c>
      <c r="C84" s="23" t="s">
        <v>28</v>
      </c>
      <c r="D84" s="20">
        <v>18</v>
      </c>
      <c r="E84" s="23">
        <v>7</v>
      </c>
      <c r="F84" s="25">
        <v>3000</v>
      </c>
      <c r="G84" s="25">
        <f t="shared" si="53"/>
        <v>378000</v>
      </c>
      <c r="H84" s="268">
        <f t="shared" ref="H84" si="57">G84/589.84</f>
        <v>640.85175640851753</v>
      </c>
      <c r="I84" s="642">
        <f t="shared" si="54"/>
        <v>11340</v>
      </c>
      <c r="J84" s="642">
        <f>550*D84</f>
        <v>9900</v>
      </c>
      <c r="K84" s="642">
        <f t="shared" si="55"/>
        <v>21000</v>
      </c>
      <c r="L84" s="12"/>
      <c r="M84" s="12"/>
      <c r="N84" s="12"/>
      <c r="O84" s="12"/>
    </row>
    <row r="85" spans="1:15" ht="28.5" x14ac:dyDescent="0.25">
      <c r="A85" s="22">
        <v>5</v>
      </c>
      <c r="B85" s="26" t="s">
        <v>1338</v>
      </c>
      <c r="C85" s="23" t="s">
        <v>28</v>
      </c>
      <c r="D85" s="20">
        <v>1</v>
      </c>
      <c r="E85" s="23">
        <v>10</v>
      </c>
      <c r="F85" s="25">
        <v>8000</v>
      </c>
      <c r="G85" s="25">
        <f t="shared" si="53"/>
        <v>80000</v>
      </c>
      <c r="H85" s="268">
        <f t="shared" ref="H85" si="58">G85/589.84</f>
        <v>135.6300013563</v>
      </c>
      <c r="I85" s="642">
        <f t="shared" si="54"/>
        <v>2400</v>
      </c>
      <c r="J85" s="642">
        <f>1600*D85</f>
        <v>1600</v>
      </c>
      <c r="K85" s="642">
        <f t="shared" si="55"/>
        <v>80000</v>
      </c>
      <c r="L85" s="12"/>
      <c r="M85" s="12"/>
      <c r="N85" s="12"/>
      <c r="O85" s="12"/>
    </row>
    <row r="86" spans="1:15" ht="16.5" thickBot="1" x14ac:dyDescent="0.3">
      <c r="A86" s="22">
        <v>6</v>
      </c>
      <c r="B86" s="26" t="s">
        <v>394</v>
      </c>
      <c r="C86" s="23" t="s">
        <v>28</v>
      </c>
      <c r="D86" s="20">
        <v>1</v>
      </c>
      <c r="E86" s="23">
        <v>10</v>
      </c>
      <c r="F86" s="25">
        <v>8000</v>
      </c>
      <c r="G86" s="25">
        <f t="shared" si="53"/>
        <v>80000</v>
      </c>
      <c r="H86" s="268">
        <f t="shared" si="56"/>
        <v>135.6300013563</v>
      </c>
      <c r="I86" s="642">
        <f t="shared" si="54"/>
        <v>2400</v>
      </c>
      <c r="J86" s="642">
        <f>1600*D86</f>
        <v>1600</v>
      </c>
      <c r="K86" s="642">
        <f t="shared" si="55"/>
        <v>80000</v>
      </c>
      <c r="L86" s="12"/>
      <c r="M86" s="12"/>
      <c r="N86" s="12"/>
      <c r="O86" s="12"/>
    </row>
    <row r="87" spans="1:15" ht="18.75" thickBot="1" x14ac:dyDescent="0.3">
      <c r="A87" s="341"/>
      <c r="B87" s="342" t="s">
        <v>1422</v>
      </c>
      <c r="C87" s="343"/>
      <c r="D87" s="343"/>
      <c r="E87" s="343"/>
      <c r="F87" s="344"/>
      <c r="G87" s="344">
        <f>SUM(G81:G86)</f>
        <v>1333000</v>
      </c>
      <c r="H87" s="516">
        <f>SUM(H81:H86)</f>
        <v>2259.9348975993485</v>
      </c>
      <c r="I87" s="263">
        <f>SUM(I81:I86)</f>
        <v>39990</v>
      </c>
      <c r="J87" s="263">
        <f>SUM(J81:J86)</f>
        <v>31700</v>
      </c>
      <c r="K87" s="12"/>
      <c r="L87" s="12"/>
      <c r="M87" s="12"/>
      <c r="N87" s="12"/>
      <c r="O87" s="12"/>
    </row>
    <row r="88" spans="1:15" ht="16.5" thickBot="1" x14ac:dyDescent="0.3">
      <c r="A88" s="22">
        <v>1</v>
      </c>
      <c r="B88" s="26" t="s">
        <v>332</v>
      </c>
      <c r="C88" s="23" t="s">
        <v>28</v>
      </c>
      <c r="D88" s="24">
        <v>10</v>
      </c>
      <c r="E88" s="23">
        <v>10</v>
      </c>
      <c r="F88" s="25">
        <v>7500</v>
      </c>
      <c r="G88" s="25">
        <f t="shared" ref="G88:G93" si="59">D88*E88*F88</f>
        <v>750000</v>
      </c>
      <c r="H88" s="544">
        <f>G88/589.84</f>
        <v>1271.5312627153126</v>
      </c>
      <c r="I88" s="642">
        <f t="shared" ref="I88:I93" si="60">G88*0.03</f>
        <v>22500</v>
      </c>
      <c r="J88" s="642">
        <f>1600*D88</f>
        <v>16000</v>
      </c>
      <c r="K88" s="642">
        <f t="shared" ref="K88:K93" si="61">G88/D88</f>
        <v>75000</v>
      </c>
      <c r="L88" s="12"/>
      <c r="M88" s="12"/>
      <c r="N88" s="12"/>
      <c r="O88" s="12"/>
    </row>
    <row r="89" spans="1:15" x14ac:dyDescent="0.25">
      <c r="A89" s="22">
        <v>2</v>
      </c>
      <c r="B89" s="26" t="s">
        <v>379</v>
      </c>
      <c r="C89" s="23" t="s">
        <v>28</v>
      </c>
      <c r="D89" s="24">
        <v>5</v>
      </c>
      <c r="E89" s="23">
        <v>10</v>
      </c>
      <c r="F89" s="25">
        <v>3000</v>
      </c>
      <c r="G89" s="25">
        <f t="shared" si="59"/>
        <v>150000</v>
      </c>
      <c r="H89" s="268">
        <f t="shared" ref="H89:H93" si="62">G89/589.84</f>
        <v>254.3062525430625</v>
      </c>
      <c r="I89" s="642">
        <f t="shared" si="60"/>
        <v>4500</v>
      </c>
      <c r="J89" s="642">
        <f>1050*D89</f>
        <v>5250</v>
      </c>
      <c r="K89" s="642">
        <f t="shared" si="61"/>
        <v>30000</v>
      </c>
      <c r="L89" s="12"/>
      <c r="M89" s="12"/>
      <c r="N89" s="12"/>
      <c r="O89" s="12"/>
    </row>
    <row r="90" spans="1:15" ht="28.5" x14ac:dyDescent="0.25">
      <c r="A90" s="22">
        <v>3</v>
      </c>
      <c r="B90" s="26" t="s">
        <v>380</v>
      </c>
      <c r="C90" s="23" t="s">
        <v>28</v>
      </c>
      <c r="D90" s="24">
        <v>1</v>
      </c>
      <c r="E90" s="23">
        <v>10</v>
      </c>
      <c r="F90" s="25">
        <v>7500</v>
      </c>
      <c r="G90" s="25">
        <f t="shared" si="59"/>
        <v>75000</v>
      </c>
      <c r="H90" s="268">
        <f t="shared" si="62"/>
        <v>127.15312627153125</v>
      </c>
      <c r="I90" s="642">
        <f t="shared" si="60"/>
        <v>2250</v>
      </c>
      <c r="J90" s="642">
        <f>1600*D90</f>
        <v>1600</v>
      </c>
      <c r="K90" s="642">
        <f t="shared" si="61"/>
        <v>75000</v>
      </c>
      <c r="L90" s="12"/>
      <c r="M90" s="12"/>
      <c r="N90" s="12"/>
      <c r="O90" s="12"/>
    </row>
    <row r="91" spans="1:15" x14ac:dyDescent="0.25">
      <c r="A91" s="22">
        <v>4</v>
      </c>
      <c r="B91" s="26" t="s">
        <v>1364</v>
      </c>
      <c r="C91" s="23" t="s">
        <v>28</v>
      </c>
      <c r="D91" s="24">
        <v>30</v>
      </c>
      <c r="E91" s="23">
        <v>7</v>
      </c>
      <c r="F91" s="25">
        <v>3000</v>
      </c>
      <c r="G91" s="25">
        <f t="shared" si="59"/>
        <v>630000</v>
      </c>
      <c r="H91" s="268">
        <f t="shared" ref="H91" si="63">G91/589.84</f>
        <v>1068.0862606808626</v>
      </c>
      <c r="I91" s="642">
        <f t="shared" si="60"/>
        <v>18900</v>
      </c>
      <c r="J91" s="642">
        <f>550*D91</f>
        <v>16500</v>
      </c>
      <c r="K91" s="642">
        <f t="shared" si="61"/>
        <v>21000</v>
      </c>
      <c r="L91" s="12"/>
      <c r="M91" s="12"/>
      <c r="N91" s="12"/>
      <c r="O91" s="12"/>
    </row>
    <row r="92" spans="1:15" ht="28.5" x14ac:dyDescent="0.25">
      <c r="A92" s="22">
        <v>5</v>
      </c>
      <c r="B92" s="26" t="s">
        <v>1338</v>
      </c>
      <c r="C92" s="23" t="s">
        <v>28</v>
      </c>
      <c r="D92" s="24">
        <v>1</v>
      </c>
      <c r="E92" s="23">
        <v>10</v>
      </c>
      <c r="F92" s="25">
        <v>8000</v>
      </c>
      <c r="G92" s="25">
        <f t="shared" si="59"/>
        <v>80000</v>
      </c>
      <c r="H92" s="268">
        <f t="shared" ref="H92" si="64">G92/589.84</f>
        <v>135.6300013563</v>
      </c>
      <c r="I92" s="642">
        <f t="shared" si="60"/>
        <v>2400</v>
      </c>
      <c r="J92" s="642">
        <f>1600*D92</f>
        <v>1600</v>
      </c>
      <c r="K92" s="642">
        <f t="shared" si="61"/>
        <v>80000</v>
      </c>
      <c r="L92" s="12"/>
      <c r="M92" s="12"/>
      <c r="N92" s="12"/>
      <c r="O92" s="12"/>
    </row>
    <row r="93" spans="1:15" ht="29.25" thickBot="1" x14ac:dyDescent="0.3">
      <c r="A93" s="22">
        <v>6</v>
      </c>
      <c r="B93" s="26" t="s">
        <v>395</v>
      </c>
      <c r="C93" s="23" t="s">
        <v>28</v>
      </c>
      <c r="D93" s="24">
        <v>2</v>
      </c>
      <c r="E93" s="23">
        <v>10</v>
      </c>
      <c r="F93" s="25">
        <v>8000</v>
      </c>
      <c r="G93" s="25">
        <f t="shared" si="59"/>
        <v>160000</v>
      </c>
      <c r="H93" s="268">
        <f t="shared" si="62"/>
        <v>271.2600027126</v>
      </c>
      <c r="I93" s="642">
        <f t="shared" si="60"/>
        <v>4800</v>
      </c>
      <c r="J93" s="642">
        <f>1600*D93</f>
        <v>3200</v>
      </c>
      <c r="K93" s="642">
        <f t="shared" si="61"/>
        <v>80000</v>
      </c>
      <c r="L93" s="12"/>
      <c r="M93" s="12"/>
      <c r="N93" s="12"/>
      <c r="O93" s="12"/>
    </row>
    <row r="94" spans="1:15" ht="18.75" thickBot="1" x14ac:dyDescent="0.3">
      <c r="A94" s="341"/>
      <c r="B94" s="342" t="s">
        <v>1422</v>
      </c>
      <c r="C94" s="343"/>
      <c r="D94" s="343"/>
      <c r="E94" s="343"/>
      <c r="F94" s="344"/>
      <c r="G94" s="344">
        <f>SUM(G88:G93)</f>
        <v>1845000</v>
      </c>
      <c r="H94" s="516">
        <f>SUM(H88:H93)</f>
        <v>3127.9669062796688</v>
      </c>
      <c r="I94" s="263">
        <f>SUM(I88:I93)</f>
        <v>55350</v>
      </c>
      <c r="J94" s="263">
        <f>SUM(J88:J93)</f>
        <v>44150</v>
      </c>
      <c r="K94" s="12"/>
      <c r="L94" s="12"/>
      <c r="M94" s="12"/>
      <c r="N94" s="12"/>
      <c r="O94" s="12"/>
    </row>
    <row r="95" spans="1:15" ht="16.5" thickBot="1" x14ac:dyDescent="0.3">
      <c r="A95" s="22">
        <v>1</v>
      </c>
      <c r="B95" s="26" t="s">
        <v>333</v>
      </c>
      <c r="C95" s="23" t="s">
        <v>28</v>
      </c>
      <c r="D95" s="24">
        <v>4</v>
      </c>
      <c r="E95" s="23">
        <v>10</v>
      </c>
      <c r="F95" s="25">
        <v>7500</v>
      </c>
      <c r="G95" s="25">
        <f t="shared" ref="G95:G100" si="65">D95*E95*F95</f>
        <v>300000</v>
      </c>
      <c r="H95" s="544">
        <f>G95/589.84</f>
        <v>508.612505086125</v>
      </c>
      <c r="I95" s="642">
        <f t="shared" ref="I95:I100" si="66">G95*0.03</f>
        <v>9000</v>
      </c>
      <c r="J95" s="642">
        <f>1600*D95</f>
        <v>6400</v>
      </c>
      <c r="K95" s="642">
        <f t="shared" ref="K95:K100" si="67">G95/D95</f>
        <v>75000</v>
      </c>
      <c r="L95" s="12"/>
      <c r="M95" s="12"/>
      <c r="N95" s="12"/>
      <c r="O95" s="12"/>
    </row>
    <row r="96" spans="1:15" x14ac:dyDescent="0.25">
      <c r="A96" s="22">
        <v>2</v>
      </c>
      <c r="B96" s="26" t="s">
        <v>346</v>
      </c>
      <c r="C96" s="23" t="s">
        <v>28</v>
      </c>
      <c r="D96" s="24">
        <v>2</v>
      </c>
      <c r="E96" s="23">
        <v>10</v>
      </c>
      <c r="F96" s="25">
        <v>3000</v>
      </c>
      <c r="G96" s="25">
        <f t="shared" si="65"/>
        <v>60000</v>
      </c>
      <c r="H96" s="268">
        <f t="shared" ref="H96:H100" si="68">G96/589.84</f>
        <v>101.722501017225</v>
      </c>
      <c r="I96" s="642">
        <f t="shared" si="66"/>
        <v>1800</v>
      </c>
      <c r="J96" s="642">
        <f>1050*D96</f>
        <v>2100</v>
      </c>
      <c r="K96" s="642">
        <f t="shared" si="67"/>
        <v>30000</v>
      </c>
      <c r="L96" s="12"/>
      <c r="M96" s="12"/>
      <c r="N96" s="12"/>
      <c r="O96" s="12"/>
    </row>
    <row r="97" spans="1:15" ht="28.5" x14ac:dyDescent="0.25">
      <c r="A97" s="22">
        <v>3</v>
      </c>
      <c r="B97" s="26" t="s">
        <v>381</v>
      </c>
      <c r="C97" s="23" t="s">
        <v>28</v>
      </c>
      <c r="D97" s="24">
        <v>1</v>
      </c>
      <c r="E97" s="23">
        <v>10</v>
      </c>
      <c r="F97" s="25">
        <v>7500</v>
      </c>
      <c r="G97" s="25">
        <f t="shared" si="65"/>
        <v>75000</v>
      </c>
      <c r="H97" s="268">
        <f t="shared" si="68"/>
        <v>127.15312627153125</v>
      </c>
      <c r="I97" s="642">
        <f t="shared" si="66"/>
        <v>2250</v>
      </c>
      <c r="J97" s="642">
        <f>1600*D97</f>
        <v>1600</v>
      </c>
      <c r="K97" s="642">
        <f t="shared" si="67"/>
        <v>75000</v>
      </c>
      <c r="L97" s="12"/>
      <c r="M97" s="12"/>
      <c r="N97" s="12"/>
      <c r="O97" s="12"/>
    </row>
    <row r="98" spans="1:15" x14ac:dyDescent="0.25">
      <c r="A98" s="22">
        <v>4</v>
      </c>
      <c r="B98" s="26" t="s">
        <v>1364</v>
      </c>
      <c r="C98" s="23" t="s">
        <v>28</v>
      </c>
      <c r="D98" s="24">
        <v>15</v>
      </c>
      <c r="E98" s="23">
        <v>7</v>
      </c>
      <c r="F98" s="25">
        <v>3000</v>
      </c>
      <c r="G98" s="25">
        <f t="shared" si="65"/>
        <v>315000</v>
      </c>
      <c r="H98" s="268">
        <f t="shared" ref="H98" si="69">G98/589.84</f>
        <v>534.04313034043128</v>
      </c>
      <c r="I98" s="642">
        <f t="shared" si="66"/>
        <v>9450</v>
      </c>
      <c r="J98" s="642">
        <f>550*D98</f>
        <v>8250</v>
      </c>
      <c r="K98" s="642">
        <f t="shared" si="67"/>
        <v>21000</v>
      </c>
      <c r="L98" s="12"/>
      <c r="M98" s="12"/>
      <c r="N98" s="12"/>
      <c r="O98" s="12"/>
    </row>
    <row r="99" spans="1:15" ht="28.5" x14ac:dyDescent="0.25">
      <c r="A99" s="22">
        <v>5</v>
      </c>
      <c r="B99" s="26" t="s">
        <v>1338</v>
      </c>
      <c r="C99" s="23" t="s">
        <v>28</v>
      </c>
      <c r="D99" s="24">
        <v>1</v>
      </c>
      <c r="E99" s="23">
        <v>10</v>
      </c>
      <c r="F99" s="25">
        <v>8000</v>
      </c>
      <c r="G99" s="25">
        <f t="shared" si="65"/>
        <v>80000</v>
      </c>
      <c r="H99" s="268">
        <f t="shared" ref="H99" si="70">G99/589.84</f>
        <v>135.6300013563</v>
      </c>
      <c r="I99" s="642">
        <f t="shared" si="66"/>
        <v>2400</v>
      </c>
      <c r="J99" s="642">
        <f>1600*D99</f>
        <v>1600</v>
      </c>
      <c r="K99" s="642">
        <f t="shared" si="67"/>
        <v>80000</v>
      </c>
      <c r="L99" s="12"/>
      <c r="M99" s="12"/>
      <c r="N99" s="12"/>
      <c r="O99" s="12"/>
    </row>
    <row r="100" spans="1:15" ht="16.5" thickBot="1" x14ac:dyDescent="0.3">
      <c r="A100" s="22">
        <v>6</v>
      </c>
      <c r="B100" s="26" t="s">
        <v>396</v>
      </c>
      <c r="C100" s="23" t="s">
        <v>28</v>
      </c>
      <c r="D100" s="24">
        <v>1</v>
      </c>
      <c r="E100" s="23">
        <v>10</v>
      </c>
      <c r="F100" s="25">
        <v>8000</v>
      </c>
      <c r="G100" s="25">
        <f t="shared" si="65"/>
        <v>80000</v>
      </c>
      <c r="H100" s="268">
        <f t="shared" si="68"/>
        <v>135.6300013563</v>
      </c>
      <c r="I100" s="642">
        <f t="shared" si="66"/>
        <v>2400</v>
      </c>
      <c r="J100" s="642">
        <f>1600*D100</f>
        <v>1600</v>
      </c>
      <c r="K100" s="642">
        <f t="shared" si="67"/>
        <v>80000</v>
      </c>
      <c r="L100" s="12"/>
      <c r="M100" s="12"/>
      <c r="N100" s="12"/>
      <c r="O100" s="12"/>
    </row>
    <row r="101" spans="1:15" ht="20.25" customHeight="1" thickBot="1" x14ac:dyDescent="0.3">
      <c r="A101" s="341"/>
      <c r="B101" s="342" t="s">
        <v>1422</v>
      </c>
      <c r="C101" s="343"/>
      <c r="D101" s="343"/>
      <c r="E101" s="343"/>
      <c r="F101" s="344"/>
      <c r="G101" s="344">
        <f>SUM(G95:G100)</f>
        <v>910000</v>
      </c>
      <c r="H101" s="516">
        <f>SUM(H95:H100)</f>
        <v>1542.7912654279125</v>
      </c>
      <c r="I101" s="263">
        <f>SUM(I95:I100)</f>
        <v>27300</v>
      </c>
      <c r="J101" s="263">
        <f>SUM(J95:J100)</f>
        <v>21550</v>
      </c>
      <c r="K101" s="12"/>
      <c r="L101" s="12"/>
      <c r="M101" s="12"/>
      <c r="N101" s="12"/>
      <c r="O101" s="12"/>
    </row>
    <row r="102" spans="1:15" ht="20.25" customHeight="1" thickBot="1" x14ac:dyDescent="0.3">
      <c r="A102" s="22">
        <v>1</v>
      </c>
      <c r="B102" s="26" t="s">
        <v>382</v>
      </c>
      <c r="C102" s="23" t="s">
        <v>28</v>
      </c>
      <c r="D102" s="20">
        <v>16</v>
      </c>
      <c r="E102" s="23">
        <v>10</v>
      </c>
      <c r="F102" s="25">
        <v>7500</v>
      </c>
      <c r="G102" s="25">
        <f t="shared" ref="G102:G107" si="71">D102*E102*F102</f>
        <v>1200000</v>
      </c>
      <c r="H102" s="544">
        <f>G102/589.84</f>
        <v>2034.4500203445</v>
      </c>
      <c r="I102" s="642">
        <f t="shared" ref="I102:I107" si="72">G102*0.03</f>
        <v>36000</v>
      </c>
      <c r="J102" s="642">
        <f>1600*D102</f>
        <v>25600</v>
      </c>
      <c r="K102" s="642">
        <f t="shared" ref="K102:K107" si="73">G102/D102</f>
        <v>75000</v>
      </c>
      <c r="L102" s="12"/>
      <c r="M102" s="12"/>
      <c r="N102" s="12"/>
      <c r="O102" s="12"/>
    </row>
    <row r="103" spans="1:15" ht="20.25" customHeight="1" x14ac:dyDescent="0.25">
      <c r="A103" s="22">
        <v>2</v>
      </c>
      <c r="B103" s="26" t="s">
        <v>347</v>
      </c>
      <c r="C103" s="23" t="s">
        <v>28</v>
      </c>
      <c r="D103" s="20">
        <v>8</v>
      </c>
      <c r="E103" s="23">
        <v>10</v>
      </c>
      <c r="F103" s="25">
        <v>3000</v>
      </c>
      <c r="G103" s="25">
        <f t="shared" si="71"/>
        <v>240000</v>
      </c>
      <c r="H103" s="268">
        <f t="shared" ref="H103:H107" si="74">G103/589.84</f>
        <v>406.8900040689</v>
      </c>
      <c r="I103" s="642">
        <f t="shared" si="72"/>
        <v>7200</v>
      </c>
      <c r="J103" s="642">
        <f>1050*D103</f>
        <v>8400</v>
      </c>
      <c r="K103" s="642">
        <f t="shared" si="73"/>
        <v>30000</v>
      </c>
      <c r="L103" s="12"/>
      <c r="M103" s="12"/>
      <c r="N103" s="12"/>
      <c r="O103" s="12"/>
    </row>
    <row r="104" spans="1:15" ht="28.5" x14ac:dyDescent="0.25">
      <c r="A104" s="22">
        <v>3</v>
      </c>
      <c r="B104" s="26" t="s">
        <v>383</v>
      </c>
      <c r="C104" s="23" t="s">
        <v>28</v>
      </c>
      <c r="D104" s="24">
        <v>1</v>
      </c>
      <c r="E104" s="23">
        <v>10</v>
      </c>
      <c r="F104" s="25">
        <v>7500</v>
      </c>
      <c r="G104" s="25">
        <f t="shared" si="71"/>
        <v>75000</v>
      </c>
      <c r="H104" s="268">
        <f t="shared" si="74"/>
        <v>127.15312627153125</v>
      </c>
      <c r="I104" s="642">
        <f t="shared" si="72"/>
        <v>2250</v>
      </c>
      <c r="J104" s="642">
        <f>1600*D104</f>
        <v>1600</v>
      </c>
      <c r="K104" s="642">
        <f t="shared" si="73"/>
        <v>75000</v>
      </c>
      <c r="L104" s="12"/>
      <c r="M104" s="12"/>
      <c r="N104" s="12"/>
      <c r="O104" s="12"/>
    </row>
    <row r="105" spans="1:15" ht="20.25" customHeight="1" x14ac:dyDescent="0.25">
      <c r="A105" s="22">
        <v>4</v>
      </c>
      <c r="B105" s="26" t="s">
        <v>1364</v>
      </c>
      <c r="C105" s="23" t="s">
        <v>28</v>
      </c>
      <c r="D105" s="24">
        <v>43</v>
      </c>
      <c r="E105" s="23">
        <v>7</v>
      </c>
      <c r="F105" s="25">
        <v>3000</v>
      </c>
      <c r="G105" s="25">
        <f t="shared" si="71"/>
        <v>903000</v>
      </c>
      <c r="H105" s="268">
        <f t="shared" ref="H105" si="75">G105/589.84</f>
        <v>1530.9236403092364</v>
      </c>
      <c r="I105" s="642">
        <f t="shared" si="72"/>
        <v>27090</v>
      </c>
      <c r="J105" s="642">
        <f>550*D105</f>
        <v>23650</v>
      </c>
      <c r="K105" s="642">
        <f t="shared" si="73"/>
        <v>21000</v>
      </c>
      <c r="L105" s="12"/>
      <c r="M105" s="12"/>
      <c r="N105" s="12"/>
      <c r="O105" s="12"/>
    </row>
    <row r="106" spans="1:15" ht="20.25" customHeight="1" x14ac:dyDescent="0.25">
      <c r="A106" s="22">
        <v>5</v>
      </c>
      <c r="B106" s="26" t="s">
        <v>1338</v>
      </c>
      <c r="C106" s="23" t="s">
        <v>28</v>
      </c>
      <c r="D106" s="24">
        <v>1</v>
      </c>
      <c r="E106" s="23">
        <v>10</v>
      </c>
      <c r="F106" s="25">
        <v>8000</v>
      </c>
      <c r="G106" s="25">
        <f t="shared" si="71"/>
        <v>80000</v>
      </c>
      <c r="H106" s="268">
        <f t="shared" ref="H106" si="76">G106/589.84</f>
        <v>135.6300013563</v>
      </c>
      <c r="I106" s="642">
        <f t="shared" si="72"/>
        <v>2400</v>
      </c>
      <c r="J106" s="642">
        <f>1600*D106</f>
        <v>1600</v>
      </c>
      <c r="K106" s="642">
        <f t="shared" si="73"/>
        <v>80000</v>
      </c>
      <c r="L106" s="12"/>
      <c r="M106" s="12"/>
      <c r="N106" s="12"/>
      <c r="O106" s="12"/>
    </row>
    <row r="107" spans="1:15" ht="20.25" customHeight="1" thickBot="1" x14ac:dyDescent="0.3">
      <c r="A107" s="22">
        <v>6</v>
      </c>
      <c r="B107" s="26" t="s">
        <v>397</v>
      </c>
      <c r="C107" s="23" t="s">
        <v>28</v>
      </c>
      <c r="D107" s="24">
        <v>2</v>
      </c>
      <c r="E107" s="23">
        <v>10</v>
      </c>
      <c r="F107" s="25">
        <v>8000</v>
      </c>
      <c r="G107" s="25">
        <f t="shared" si="71"/>
        <v>160000</v>
      </c>
      <c r="H107" s="268">
        <f t="shared" si="74"/>
        <v>271.2600027126</v>
      </c>
      <c r="I107" s="642">
        <f t="shared" si="72"/>
        <v>4800</v>
      </c>
      <c r="J107" s="642">
        <f>1600*D107</f>
        <v>3200</v>
      </c>
      <c r="K107" s="642">
        <f t="shared" si="73"/>
        <v>80000</v>
      </c>
      <c r="L107" s="12"/>
      <c r="M107" s="12"/>
      <c r="N107" s="12"/>
      <c r="O107" s="12"/>
    </row>
    <row r="108" spans="1:15" ht="20.25" customHeight="1" thickBot="1" x14ac:dyDescent="0.3">
      <c r="A108" s="341"/>
      <c r="B108" s="342" t="s">
        <v>1422</v>
      </c>
      <c r="C108" s="343"/>
      <c r="D108" s="343"/>
      <c r="E108" s="343"/>
      <c r="F108" s="344"/>
      <c r="G108" s="344">
        <f>SUM(G102:G107)</f>
        <v>2658000</v>
      </c>
      <c r="H108" s="516">
        <f>SUM(H102:H107)</f>
        <v>4506.3067950630675</v>
      </c>
      <c r="I108" s="263">
        <f>SUM(I102:I107)</f>
        <v>79740</v>
      </c>
      <c r="J108" s="263">
        <f>SUM(J102:J107)</f>
        <v>64050</v>
      </c>
      <c r="K108" s="12"/>
      <c r="L108" s="12"/>
      <c r="M108" s="12"/>
      <c r="N108" s="12"/>
      <c r="O108" s="12"/>
    </row>
    <row r="109" spans="1:15" ht="23.25" customHeight="1" thickBot="1" x14ac:dyDescent="0.3">
      <c r="A109" s="22">
        <v>1</v>
      </c>
      <c r="B109" s="26" t="s">
        <v>49</v>
      </c>
      <c r="C109" s="23" t="s">
        <v>28</v>
      </c>
      <c r="D109" s="24">
        <v>2</v>
      </c>
      <c r="E109" s="229">
        <v>12</v>
      </c>
      <c r="F109" s="25">
        <v>12500</v>
      </c>
      <c r="G109" s="25">
        <f t="shared" ref="G109:G117" si="77">D109*E109*F109</f>
        <v>300000</v>
      </c>
      <c r="H109" s="544">
        <f>G109/589.84</f>
        <v>508.612505086125</v>
      </c>
      <c r="I109" s="642">
        <f t="shared" ref="I109:I117" si="78">G109*0.03</f>
        <v>9000</v>
      </c>
      <c r="J109" s="642">
        <f>1900*D109</f>
        <v>3800</v>
      </c>
      <c r="K109" s="642">
        <f t="shared" ref="K109:K117" si="79">G109/D109</f>
        <v>150000</v>
      </c>
      <c r="L109" s="12"/>
      <c r="M109" s="12"/>
      <c r="N109" s="12"/>
      <c r="O109" s="12"/>
    </row>
    <row r="110" spans="1:15" ht="23.25" customHeight="1" x14ac:dyDescent="0.25">
      <c r="A110" s="22">
        <v>2</v>
      </c>
      <c r="B110" s="26" t="s">
        <v>50</v>
      </c>
      <c r="C110" s="23" t="s">
        <v>28</v>
      </c>
      <c r="D110" s="24">
        <v>1</v>
      </c>
      <c r="E110" s="229">
        <v>10</v>
      </c>
      <c r="F110" s="25">
        <v>10000</v>
      </c>
      <c r="G110" s="25">
        <f>D110*E110*F110</f>
        <v>100000</v>
      </c>
      <c r="H110" s="268">
        <f t="shared" ref="H110:H117" si="80">G110/589.84</f>
        <v>169.537501695375</v>
      </c>
      <c r="I110" s="642">
        <f t="shared" si="78"/>
        <v>3000</v>
      </c>
      <c r="J110" s="642">
        <f>1600*D110</f>
        <v>1600</v>
      </c>
      <c r="K110" s="642">
        <f t="shared" si="79"/>
        <v>100000</v>
      </c>
      <c r="L110" s="12"/>
      <c r="M110" s="12"/>
      <c r="N110" s="12"/>
      <c r="O110" s="12"/>
    </row>
    <row r="111" spans="1:15" s="396" customFormat="1" ht="23.25" customHeight="1" x14ac:dyDescent="0.2">
      <c r="A111" s="22">
        <v>3</v>
      </c>
      <c r="B111" s="26" t="s">
        <v>51</v>
      </c>
      <c r="C111" s="23" t="s">
        <v>28</v>
      </c>
      <c r="D111" s="726">
        <v>2</v>
      </c>
      <c r="E111" s="727">
        <v>13</v>
      </c>
      <c r="F111" s="25">
        <v>10000</v>
      </c>
      <c r="G111" s="25">
        <f t="shared" si="77"/>
        <v>260000</v>
      </c>
      <c r="H111" s="393">
        <f t="shared" si="80"/>
        <v>440.797504407975</v>
      </c>
      <c r="I111" s="642">
        <f t="shared" si="78"/>
        <v>7800</v>
      </c>
      <c r="J111" s="642">
        <f>1900*D111</f>
        <v>3800</v>
      </c>
      <c r="K111" s="642">
        <f t="shared" si="79"/>
        <v>130000</v>
      </c>
      <c r="L111" s="395"/>
      <c r="M111" s="395"/>
      <c r="N111" s="395"/>
      <c r="O111" s="395"/>
    </row>
    <row r="112" spans="1:15" s="396" customFormat="1" ht="23.25" customHeight="1" thickBot="1" x14ac:dyDescent="0.25">
      <c r="A112" s="22">
        <v>4</v>
      </c>
      <c r="B112" s="26" t="s">
        <v>52</v>
      </c>
      <c r="C112" s="17" t="s">
        <v>1636</v>
      </c>
      <c r="D112" s="728">
        <v>1</v>
      </c>
      <c r="E112" s="729">
        <v>13</v>
      </c>
      <c r="F112" s="25">
        <v>10000</v>
      </c>
      <c r="G112" s="25">
        <f t="shared" si="77"/>
        <v>130000</v>
      </c>
      <c r="H112" s="393">
        <f t="shared" si="80"/>
        <v>220.3987522039875</v>
      </c>
      <c r="I112" s="642">
        <f t="shared" si="78"/>
        <v>3900</v>
      </c>
      <c r="J112" s="642">
        <f>1600*D112</f>
        <v>1600</v>
      </c>
      <c r="K112" s="642">
        <f t="shared" si="79"/>
        <v>130000</v>
      </c>
      <c r="L112" s="395"/>
      <c r="M112" s="395"/>
      <c r="N112" s="395"/>
      <c r="O112" s="395"/>
    </row>
    <row r="113" spans="1:15" s="396" customFormat="1" ht="23.25" customHeight="1" thickBot="1" x14ac:dyDescent="0.25">
      <c r="A113" s="22">
        <v>5</v>
      </c>
      <c r="B113" s="26" t="s">
        <v>53</v>
      </c>
      <c r="C113" s="23" t="s">
        <v>28</v>
      </c>
      <c r="D113" s="112">
        <v>1</v>
      </c>
      <c r="E113" s="229">
        <v>10</v>
      </c>
      <c r="F113" s="25">
        <v>10000</v>
      </c>
      <c r="G113" s="25">
        <f t="shared" si="77"/>
        <v>100000</v>
      </c>
      <c r="H113" s="604">
        <f t="shared" si="80"/>
        <v>169.537501695375</v>
      </c>
      <c r="I113" s="642">
        <f t="shared" si="78"/>
        <v>3000</v>
      </c>
      <c r="J113" s="642">
        <f t="shared" ref="J113:J114" si="81">1600*D113</f>
        <v>1600</v>
      </c>
      <c r="K113" s="642">
        <f t="shared" si="79"/>
        <v>100000</v>
      </c>
      <c r="L113" s="395"/>
      <c r="M113" s="395"/>
      <c r="N113" s="395"/>
      <c r="O113" s="395"/>
    </row>
    <row r="114" spans="1:15" s="396" customFormat="1" ht="23.25" customHeight="1" thickBot="1" x14ac:dyDescent="0.25">
      <c r="A114" s="22">
        <v>6</v>
      </c>
      <c r="B114" s="26" t="s">
        <v>1541</v>
      </c>
      <c r="C114" s="23" t="s">
        <v>28</v>
      </c>
      <c r="D114" s="112">
        <v>1</v>
      </c>
      <c r="E114" s="229">
        <v>10</v>
      </c>
      <c r="F114" s="25">
        <v>10000</v>
      </c>
      <c r="G114" s="25">
        <f t="shared" si="77"/>
        <v>100000</v>
      </c>
      <c r="H114" s="604">
        <f t="shared" si="80"/>
        <v>169.537501695375</v>
      </c>
      <c r="I114" s="642">
        <f t="shared" si="78"/>
        <v>3000</v>
      </c>
      <c r="J114" s="642">
        <f t="shared" si="81"/>
        <v>1600</v>
      </c>
      <c r="K114" s="642">
        <f t="shared" si="79"/>
        <v>100000</v>
      </c>
      <c r="L114" s="395"/>
      <c r="M114" s="395"/>
      <c r="N114" s="395"/>
      <c r="O114" s="395"/>
    </row>
    <row r="115" spans="1:15" s="396" customFormat="1" ht="23.25" customHeight="1" x14ac:dyDescent="0.2">
      <c r="A115" s="22">
        <v>7</v>
      </c>
      <c r="B115" s="26" t="s">
        <v>54</v>
      </c>
      <c r="C115" s="23" t="s">
        <v>28</v>
      </c>
      <c r="D115" s="112">
        <v>5</v>
      </c>
      <c r="E115" s="229">
        <v>10</v>
      </c>
      <c r="F115" s="25">
        <v>10000</v>
      </c>
      <c r="G115" s="25">
        <f t="shared" si="77"/>
        <v>500000</v>
      </c>
      <c r="H115" s="393">
        <f t="shared" si="80"/>
        <v>847.687508476875</v>
      </c>
      <c r="I115" s="642">
        <f t="shared" si="78"/>
        <v>15000</v>
      </c>
      <c r="J115" s="642">
        <f>1600*D115</f>
        <v>8000</v>
      </c>
      <c r="K115" s="642">
        <f t="shared" si="79"/>
        <v>100000</v>
      </c>
      <c r="L115" s="395"/>
      <c r="M115" s="395"/>
      <c r="N115" s="395"/>
      <c r="O115" s="395"/>
    </row>
    <row r="116" spans="1:15" s="396" customFormat="1" ht="23.25" customHeight="1" x14ac:dyDescent="0.2">
      <c r="A116" s="22">
        <v>8</v>
      </c>
      <c r="B116" s="26" t="s">
        <v>55</v>
      </c>
      <c r="C116" s="23" t="s">
        <v>28</v>
      </c>
      <c r="D116" s="112">
        <v>1</v>
      </c>
      <c r="E116" s="229">
        <v>10</v>
      </c>
      <c r="F116" s="25">
        <v>10000</v>
      </c>
      <c r="G116" s="25">
        <f t="shared" si="77"/>
        <v>100000</v>
      </c>
      <c r="H116" s="393">
        <f t="shared" si="80"/>
        <v>169.537501695375</v>
      </c>
      <c r="I116" s="642">
        <f t="shared" si="78"/>
        <v>3000</v>
      </c>
      <c r="J116" s="642">
        <f>1600*D116</f>
        <v>1600</v>
      </c>
      <c r="K116" s="642">
        <f t="shared" si="79"/>
        <v>100000</v>
      </c>
      <c r="L116" s="395"/>
      <c r="M116" s="395"/>
      <c r="N116" s="395"/>
      <c r="O116" s="395"/>
    </row>
    <row r="117" spans="1:15" s="396" customFormat="1" ht="23.25" customHeight="1" thickBot="1" x14ac:dyDescent="0.25">
      <c r="A117" s="22">
        <v>9</v>
      </c>
      <c r="B117" s="26" t="s">
        <v>398</v>
      </c>
      <c r="C117" s="23" t="s">
        <v>28</v>
      </c>
      <c r="D117" s="112">
        <v>1</v>
      </c>
      <c r="E117" s="229">
        <v>10</v>
      </c>
      <c r="F117" s="25">
        <v>5000</v>
      </c>
      <c r="G117" s="25">
        <f t="shared" si="77"/>
        <v>50000</v>
      </c>
      <c r="H117" s="393">
        <f t="shared" si="80"/>
        <v>84.7687508476875</v>
      </c>
      <c r="I117" s="642">
        <f t="shared" si="78"/>
        <v>1500</v>
      </c>
      <c r="J117" s="642">
        <f>1050*D117</f>
        <v>1050</v>
      </c>
      <c r="K117" s="642">
        <f t="shared" si="79"/>
        <v>50000</v>
      </c>
      <c r="L117" s="395"/>
      <c r="M117" s="395"/>
      <c r="N117" s="395"/>
      <c r="O117" s="395"/>
    </row>
    <row r="118" spans="1:15" ht="20.25" customHeight="1" thickBot="1" x14ac:dyDescent="0.3">
      <c r="A118" s="247" t="s">
        <v>522</v>
      </c>
      <c r="B118" s="248"/>
      <c r="C118" s="247"/>
      <c r="D118" s="247"/>
      <c r="E118" s="247"/>
      <c r="F118" s="244"/>
      <c r="G118" s="244">
        <f>SUM(G109:G117)</f>
        <v>1640000</v>
      </c>
      <c r="H118" s="506">
        <f>SUM(H109:H117)</f>
        <v>2780.4150278041493</v>
      </c>
      <c r="I118" s="263">
        <f>SUM(I109:I117)</f>
        <v>49200</v>
      </c>
      <c r="J118" s="263">
        <f>SUM(J109:J117)</f>
        <v>24650</v>
      </c>
      <c r="K118" s="12"/>
      <c r="L118" s="12"/>
      <c r="M118" s="12"/>
      <c r="N118" s="12"/>
      <c r="O118" s="12"/>
    </row>
    <row r="119" spans="1:15" ht="18" x14ac:dyDescent="0.25">
      <c r="A119" s="205"/>
      <c r="B119" s="205" t="s">
        <v>524</v>
      </c>
      <c r="C119" s="205"/>
      <c r="D119" s="205"/>
      <c r="E119" s="205"/>
      <c r="F119" s="205"/>
      <c r="G119" s="205"/>
      <c r="H119" s="546"/>
      <c r="I119" s="11"/>
      <c r="J119" s="12"/>
      <c r="K119" s="12"/>
      <c r="L119" s="12"/>
      <c r="M119" s="12"/>
      <c r="N119" s="12"/>
      <c r="O119" s="12"/>
    </row>
    <row r="120" spans="1:15" ht="18.75" thickBot="1" x14ac:dyDescent="0.3">
      <c r="A120" s="603"/>
      <c r="B120" s="603" t="s">
        <v>451</v>
      </c>
      <c r="C120" s="205"/>
      <c r="D120" s="205"/>
      <c r="E120" s="205"/>
      <c r="F120" s="205"/>
      <c r="G120" s="205"/>
      <c r="H120" s="546"/>
      <c r="I120" s="11"/>
      <c r="J120" s="12"/>
      <c r="K120" s="12"/>
      <c r="L120" s="12"/>
      <c r="M120" s="12"/>
      <c r="N120" s="12"/>
      <c r="O120" s="12"/>
    </row>
    <row r="121" spans="1:15" s="396" customFormat="1" thickBot="1" x14ac:dyDescent="0.25">
      <c r="A121" s="22">
        <v>1</v>
      </c>
      <c r="B121" s="26" t="s">
        <v>1293</v>
      </c>
      <c r="C121" s="23" t="s">
        <v>83</v>
      </c>
      <c r="D121" s="19">
        <f>(176-22)</f>
        <v>154</v>
      </c>
      <c r="E121" s="23">
        <v>10</v>
      </c>
      <c r="F121" s="25">
        <v>10000</v>
      </c>
      <c r="G121" s="25">
        <f t="shared" ref="G121" si="82">D121*E121*F121</f>
        <v>15400000</v>
      </c>
      <c r="H121" s="604">
        <f t="shared" ref="H121:H141" si="83">G121/589.84</f>
        <v>26108.775261087751</v>
      </c>
      <c r="I121" s="642">
        <f t="shared" ref="I121" si="84">G121*0.03</f>
        <v>462000</v>
      </c>
      <c r="J121" s="642">
        <f>1600*D121</f>
        <v>246400</v>
      </c>
      <c r="K121" s="642">
        <f t="shared" ref="K121" si="85">G121/D121</f>
        <v>100000</v>
      </c>
      <c r="L121" s="395"/>
      <c r="M121" s="395"/>
      <c r="N121" s="395"/>
      <c r="O121" s="395"/>
    </row>
    <row r="122" spans="1:15" s="396" customFormat="1" ht="15" thickBot="1" x14ac:dyDescent="0.25">
      <c r="A122" s="22">
        <v>2</v>
      </c>
      <c r="B122" s="26" t="s">
        <v>1294</v>
      </c>
      <c r="C122" s="23" t="s">
        <v>30</v>
      </c>
      <c r="D122" s="19">
        <f>176*3*10</f>
        <v>5280</v>
      </c>
      <c r="E122" s="23">
        <v>1</v>
      </c>
      <c r="F122" s="25">
        <v>850</v>
      </c>
      <c r="G122" s="25">
        <f t="shared" ref="G122:G141" si="86">D122*E122*F122</f>
        <v>4488000</v>
      </c>
      <c r="H122" s="604">
        <f t="shared" si="83"/>
        <v>7608.8430760884303</v>
      </c>
      <c r="I122" s="394"/>
      <c r="J122" s="395"/>
      <c r="K122" s="395"/>
      <c r="L122" s="395"/>
      <c r="M122" s="395"/>
      <c r="N122" s="395"/>
      <c r="O122" s="395"/>
    </row>
    <row r="123" spans="1:15" s="396" customFormat="1" ht="29.25" thickBot="1" x14ac:dyDescent="0.25">
      <c r="A123" s="22">
        <v>3</v>
      </c>
      <c r="B123" s="26" t="s">
        <v>1295</v>
      </c>
      <c r="C123" s="23" t="s">
        <v>83</v>
      </c>
      <c r="D123" s="19">
        <v>26</v>
      </c>
      <c r="E123" s="23">
        <v>0</v>
      </c>
      <c r="F123" s="25">
        <v>10000</v>
      </c>
      <c r="G123" s="25">
        <f t="shared" si="86"/>
        <v>0</v>
      </c>
      <c r="H123" s="604">
        <f t="shared" si="83"/>
        <v>0</v>
      </c>
      <c r="I123" s="394"/>
      <c r="J123" s="395"/>
      <c r="K123" s="395"/>
      <c r="L123" s="395"/>
      <c r="M123" s="395"/>
      <c r="N123" s="395"/>
      <c r="O123" s="395"/>
    </row>
    <row r="124" spans="1:15" s="396" customFormat="1" ht="15" thickBot="1" x14ac:dyDescent="0.25">
      <c r="A124" s="22">
        <v>4</v>
      </c>
      <c r="B124" s="26" t="s">
        <v>1296</v>
      </c>
      <c r="C124" s="23" t="s">
        <v>30</v>
      </c>
      <c r="D124" s="19">
        <f>+D123*3*10</f>
        <v>780</v>
      </c>
      <c r="E124" s="23">
        <v>1</v>
      </c>
      <c r="F124" s="25">
        <v>850</v>
      </c>
      <c r="G124" s="25">
        <f t="shared" si="86"/>
        <v>663000</v>
      </c>
      <c r="H124" s="604">
        <f t="shared" si="83"/>
        <v>1124.0336362403364</v>
      </c>
      <c r="I124" s="394"/>
      <c r="J124" s="395"/>
      <c r="K124" s="395"/>
      <c r="L124" s="395"/>
      <c r="M124" s="395"/>
      <c r="N124" s="395"/>
      <c r="O124" s="395"/>
    </row>
    <row r="125" spans="1:15" s="396" customFormat="1" ht="15" thickBot="1" x14ac:dyDescent="0.25">
      <c r="A125" s="22">
        <v>5</v>
      </c>
      <c r="B125" s="26" t="s">
        <v>1297</v>
      </c>
      <c r="C125" s="23" t="s">
        <v>84</v>
      </c>
      <c r="D125" s="19">
        <v>3</v>
      </c>
      <c r="E125" s="23">
        <v>0</v>
      </c>
      <c r="F125" s="25">
        <v>75000</v>
      </c>
      <c r="G125" s="25">
        <f t="shared" si="86"/>
        <v>0</v>
      </c>
      <c r="H125" s="604">
        <f t="shared" si="83"/>
        <v>0</v>
      </c>
      <c r="I125" s="394"/>
      <c r="J125" s="395"/>
      <c r="K125" s="395"/>
      <c r="L125" s="395"/>
      <c r="M125" s="395"/>
      <c r="N125" s="395"/>
      <c r="O125" s="395"/>
    </row>
    <row r="126" spans="1:15" s="396" customFormat="1" ht="15" thickBot="1" x14ac:dyDescent="0.25">
      <c r="A126" s="22">
        <v>6</v>
      </c>
      <c r="B126" s="26" t="s">
        <v>1298</v>
      </c>
      <c r="C126" s="23" t="s">
        <v>29</v>
      </c>
      <c r="D126" s="19">
        <f>D125*100*0.2*10</f>
        <v>600</v>
      </c>
      <c r="E126" s="23">
        <v>1</v>
      </c>
      <c r="F126" s="25">
        <v>800</v>
      </c>
      <c r="G126" s="25">
        <f t="shared" si="86"/>
        <v>480000</v>
      </c>
      <c r="H126" s="604">
        <f t="shared" si="83"/>
        <v>813.7800081378</v>
      </c>
      <c r="I126" s="394"/>
      <c r="J126" s="395"/>
      <c r="K126" s="395"/>
      <c r="L126" s="395"/>
      <c r="M126" s="395"/>
      <c r="N126" s="395"/>
      <c r="O126" s="395"/>
    </row>
    <row r="127" spans="1:15" s="396" customFormat="1" ht="15" thickBot="1" x14ac:dyDescent="0.25">
      <c r="A127" s="22">
        <v>7</v>
      </c>
      <c r="B127" s="26" t="s">
        <v>1334</v>
      </c>
      <c r="C127" s="23" t="s">
        <v>29</v>
      </c>
      <c r="D127" s="19">
        <f>10*1*10</f>
        <v>100</v>
      </c>
      <c r="E127" s="23">
        <v>1</v>
      </c>
      <c r="F127" s="25">
        <v>800</v>
      </c>
      <c r="G127" s="25">
        <f t="shared" si="86"/>
        <v>80000</v>
      </c>
      <c r="H127" s="604">
        <f t="shared" si="83"/>
        <v>135.6300013563</v>
      </c>
      <c r="I127" s="394"/>
      <c r="J127" s="395"/>
      <c r="K127" s="395"/>
      <c r="L127" s="395"/>
      <c r="M127" s="395"/>
      <c r="N127" s="395"/>
      <c r="O127" s="395"/>
    </row>
    <row r="128" spans="1:15" s="396" customFormat="1" ht="15" thickBot="1" x14ac:dyDescent="0.25">
      <c r="A128" s="22">
        <v>8</v>
      </c>
      <c r="B128" s="26" t="s">
        <v>1444</v>
      </c>
      <c r="C128" s="23" t="s">
        <v>83</v>
      </c>
      <c r="D128" s="19">
        <v>0</v>
      </c>
      <c r="E128" s="23">
        <v>10</v>
      </c>
      <c r="F128" s="25">
        <v>10000</v>
      </c>
      <c r="G128" s="25">
        <f t="shared" si="86"/>
        <v>0</v>
      </c>
      <c r="H128" s="604">
        <f t="shared" si="83"/>
        <v>0</v>
      </c>
      <c r="I128" s="394"/>
      <c r="J128" s="395"/>
      <c r="K128" s="395"/>
      <c r="L128" s="395"/>
      <c r="M128" s="395"/>
      <c r="N128" s="395"/>
      <c r="O128" s="395"/>
    </row>
    <row r="129" spans="1:15" s="396" customFormat="1" ht="15" thickBot="1" x14ac:dyDescent="0.25">
      <c r="A129" s="22">
        <v>9</v>
      </c>
      <c r="B129" s="26" t="s">
        <v>1346</v>
      </c>
      <c r="C129" s="23" t="s">
        <v>29</v>
      </c>
      <c r="D129" s="19">
        <f>D128*3*10</f>
        <v>0</v>
      </c>
      <c r="E129" s="23">
        <v>1</v>
      </c>
      <c r="F129" s="25">
        <v>800</v>
      </c>
      <c r="G129" s="25">
        <f t="shared" si="86"/>
        <v>0</v>
      </c>
      <c r="H129" s="604">
        <f t="shared" si="83"/>
        <v>0</v>
      </c>
      <c r="I129" s="394"/>
      <c r="J129" s="395"/>
      <c r="K129" s="395"/>
      <c r="L129" s="395"/>
      <c r="M129" s="395"/>
      <c r="N129" s="395"/>
      <c r="O129" s="395"/>
    </row>
    <row r="130" spans="1:15" s="396" customFormat="1" ht="15" thickBot="1" x14ac:dyDescent="0.25">
      <c r="A130" s="22">
        <v>10</v>
      </c>
      <c r="B130" s="26" t="s">
        <v>1299</v>
      </c>
      <c r="C130" s="23" t="s">
        <v>1280</v>
      </c>
      <c r="D130" s="19">
        <v>0</v>
      </c>
      <c r="E130" s="23">
        <v>0</v>
      </c>
      <c r="F130" s="25">
        <v>0</v>
      </c>
      <c r="G130" s="25">
        <f t="shared" si="86"/>
        <v>0</v>
      </c>
      <c r="H130" s="604">
        <f t="shared" si="83"/>
        <v>0</v>
      </c>
      <c r="I130" s="394"/>
      <c r="J130" s="395"/>
      <c r="K130" s="395"/>
      <c r="L130" s="395"/>
      <c r="M130" s="395"/>
      <c r="N130" s="395"/>
      <c r="O130" s="395"/>
    </row>
    <row r="131" spans="1:15" s="396" customFormat="1" ht="15" thickBot="1" x14ac:dyDescent="0.25">
      <c r="A131" s="22">
        <v>11</v>
      </c>
      <c r="B131" s="26" t="s">
        <v>1298</v>
      </c>
      <c r="C131" s="23" t="s">
        <v>30</v>
      </c>
      <c r="D131" s="19">
        <v>0</v>
      </c>
      <c r="E131" s="23">
        <v>0</v>
      </c>
      <c r="F131" s="25">
        <v>850</v>
      </c>
      <c r="G131" s="25">
        <f t="shared" si="86"/>
        <v>0</v>
      </c>
      <c r="H131" s="604">
        <f t="shared" si="83"/>
        <v>0</v>
      </c>
      <c r="I131" s="394"/>
      <c r="J131" s="395"/>
      <c r="K131" s="395"/>
      <c r="L131" s="395"/>
      <c r="M131" s="395"/>
      <c r="N131" s="395"/>
      <c r="O131" s="395"/>
    </row>
    <row r="132" spans="1:15" s="396" customFormat="1" ht="15" thickBot="1" x14ac:dyDescent="0.25">
      <c r="A132" s="22">
        <v>12</v>
      </c>
      <c r="B132" s="26" t="s">
        <v>1300</v>
      </c>
      <c r="C132" s="23" t="s">
        <v>1301</v>
      </c>
      <c r="D132" s="19">
        <v>0</v>
      </c>
      <c r="E132" s="23">
        <v>0</v>
      </c>
      <c r="F132" s="25">
        <v>6000</v>
      </c>
      <c r="G132" s="25">
        <f t="shared" si="86"/>
        <v>0</v>
      </c>
      <c r="H132" s="604">
        <f t="shared" si="83"/>
        <v>0</v>
      </c>
      <c r="I132" s="394"/>
      <c r="J132" s="395"/>
      <c r="K132" s="395"/>
      <c r="L132" s="395"/>
      <c r="M132" s="395"/>
      <c r="N132" s="395"/>
      <c r="O132" s="395"/>
    </row>
    <row r="133" spans="1:15" s="396" customFormat="1" ht="15" thickBot="1" x14ac:dyDescent="0.25">
      <c r="A133" s="22">
        <v>13</v>
      </c>
      <c r="B133" s="26" t="s">
        <v>266</v>
      </c>
      <c r="C133" s="23" t="s">
        <v>1302</v>
      </c>
      <c r="D133" s="19">
        <f>D132/25</f>
        <v>0</v>
      </c>
      <c r="E133" s="23">
        <v>0</v>
      </c>
      <c r="F133" s="21">
        <v>25000</v>
      </c>
      <c r="G133" s="25">
        <f t="shared" si="86"/>
        <v>0</v>
      </c>
      <c r="H133" s="604">
        <f t="shared" si="83"/>
        <v>0</v>
      </c>
      <c r="I133" s="394"/>
      <c r="J133" s="395"/>
      <c r="K133" s="395"/>
      <c r="L133" s="395"/>
      <c r="M133" s="395"/>
      <c r="N133" s="395"/>
      <c r="O133" s="395"/>
    </row>
    <row r="134" spans="1:15" s="396" customFormat="1" ht="29.25" thickBot="1" x14ac:dyDescent="0.25">
      <c r="A134" s="22">
        <v>14</v>
      </c>
      <c r="B134" s="26" t="s">
        <v>267</v>
      </c>
      <c r="C134" s="23" t="s">
        <v>1302</v>
      </c>
      <c r="D134" s="20">
        <v>0</v>
      </c>
      <c r="E134" s="19">
        <v>0</v>
      </c>
      <c r="F134" s="21">
        <v>40000</v>
      </c>
      <c r="G134" s="25">
        <f t="shared" si="86"/>
        <v>0</v>
      </c>
      <c r="H134" s="604">
        <f t="shared" si="83"/>
        <v>0</v>
      </c>
      <c r="I134" s="394"/>
      <c r="J134" s="395"/>
      <c r="K134" s="395"/>
      <c r="L134" s="395"/>
      <c r="M134" s="395"/>
      <c r="N134" s="395"/>
      <c r="O134" s="395"/>
    </row>
    <row r="135" spans="1:15" s="396" customFormat="1" ht="15" thickBot="1" x14ac:dyDescent="0.25">
      <c r="A135" s="22">
        <v>15</v>
      </c>
      <c r="B135" s="26" t="s">
        <v>268</v>
      </c>
      <c r="C135" s="23" t="s">
        <v>1302</v>
      </c>
      <c r="D135" s="20">
        <v>0</v>
      </c>
      <c r="E135" s="19">
        <v>0</v>
      </c>
      <c r="F135" s="21">
        <v>20000</v>
      </c>
      <c r="G135" s="25">
        <f t="shared" si="86"/>
        <v>0</v>
      </c>
      <c r="H135" s="604">
        <f t="shared" si="83"/>
        <v>0</v>
      </c>
      <c r="I135" s="394"/>
      <c r="J135" s="395"/>
      <c r="K135" s="395"/>
      <c r="L135" s="395"/>
      <c r="M135" s="395"/>
      <c r="N135" s="395"/>
      <c r="O135" s="395"/>
    </row>
    <row r="136" spans="1:15" s="396" customFormat="1" ht="15" thickBot="1" x14ac:dyDescent="0.25">
      <c r="A136" s="22">
        <v>16</v>
      </c>
      <c r="B136" s="26" t="s">
        <v>269</v>
      </c>
      <c r="C136" s="23" t="s">
        <v>1302</v>
      </c>
      <c r="D136" s="20">
        <v>0</v>
      </c>
      <c r="E136" s="19">
        <v>0</v>
      </c>
      <c r="F136" s="21">
        <v>50000</v>
      </c>
      <c r="G136" s="25">
        <f t="shared" si="86"/>
        <v>0</v>
      </c>
      <c r="H136" s="604">
        <f t="shared" si="83"/>
        <v>0</v>
      </c>
      <c r="I136" s="394"/>
      <c r="J136" s="395"/>
      <c r="K136" s="395"/>
      <c r="L136" s="395"/>
      <c r="M136" s="395"/>
      <c r="N136" s="395"/>
      <c r="O136" s="395"/>
    </row>
    <row r="137" spans="1:15" s="396" customFormat="1" ht="15" thickBot="1" x14ac:dyDescent="0.25">
      <c r="A137" s="22">
        <v>17</v>
      </c>
      <c r="B137" s="26" t="s">
        <v>87</v>
      </c>
      <c r="C137" s="23" t="s">
        <v>85</v>
      </c>
      <c r="D137" s="20">
        <v>0</v>
      </c>
      <c r="E137" s="19">
        <v>0</v>
      </c>
      <c r="F137" s="21">
        <v>2250</v>
      </c>
      <c r="G137" s="25">
        <f t="shared" si="86"/>
        <v>0</v>
      </c>
      <c r="H137" s="604">
        <f t="shared" si="83"/>
        <v>0</v>
      </c>
      <c r="I137" s="394"/>
      <c r="J137" s="395"/>
      <c r="K137" s="395"/>
      <c r="L137" s="395"/>
      <c r="M137" s="395"/>
      <c r="N137" s="395"/>
      <c r="O137" s="395"/>
    </row>
    <row r="138" spans="1:15" s="396" customFormat="1" ht="15" thickBot="1" x14ac:dyDescent="0.25">
      <c r="A138" s="22">
        <v>18</v>
      </c>
      <c r="B138" s="26" t="s">
        <v>1303</v>
      </c>
      <c r="C138" s="23" t="s">
        <v>85</v>
      </c>
      <c r="D138" s="20">
        <v>0</v>
      </c>
      <c r="E138" s="19">
        <v>0</v>
      </c>
      <c r="F138" s="21">
        <v>6000</v>
      </c>
      <c r="G138" s="25">
        <f t="shared" si="86"/>
        <v>0</v>
      </c>
      <c r="H138" s="604">
        <f t="shared" si="83"/>
        <v>0</v>
      </c>
      <c r="I138" s="394"/>
      <c r="J138" s="395"/>
      <c r="K138" s="395"/>
      <c r="L138" s="395"/>
      <c r="M138" s="395"/>
      <c r="N138" s="395"/>
      <c r="O138" s="395"/>
    </row>
    <row r="139" spans="1:15" s="396" customFormat="1" ht="15" thickBot="1" x14ac:dyDescent="0.25">
      <c r="A139" s="22">
        <v>19</v>
      </c>
      <c r="B139" s="26" t="s">
        <v>270</v>
      </c>
      <c r="C139" s="23" t="s">
        <v>17</v>
      </c>
      <c r="D139" s="20">
        <v>20</v>
      </c>
      <c r="E139" s="23">
        <v>10</v>
      </c>
      <c r="F139" s="25">
        <v>800</v>
      </c>
      <c r="G139" s="25">
        <f t="shared" si="86"/>
        <v>160000</v>
      </c>
      <c r="H139" s="604">
        <f t="shared" si="83"/>
        <v>271.2600027126</v>
      </c>
      <c r="I139" s="394"/>
      <c r="J139" s="395"/>
      <c r="K139" s="395"/>
      <c r="L139" s="395"/>
      <c r="M139" s="395"/>
      <c r="N139" s="395"/>
      <c r="O139" s="395"/>
    </row>
    <row r="140" spans="1:15" s="396" customFormat="1" ht="15" thickBot="1" x14ac:dyDescent="0.25">
      <c r="A140" s="22">
        <v>20</v>
      </c>
      <c r="B140" s="26" t="s">
        <v>1304</v>
      </c>
      <c r="C140" s="23" t="s">
        <v>1305</v>
      </c>
      <c r="D140" s="20">
        <v>88</v>
      </c>
      <c r="E140" s="19">
        <v>1</v>
      </c>
      <c r="F140" s="21">
        <v>1500</v>
      </c>
      <c r="G140" s="25">
        <f t="shared" si="86"/>
        <v>132000</v>
      </c>
      <c r="H140" s="604">
        <f t="shared" si="83"/>
        <v>223.78950223789502</v>
      </c>
      <c r="I140" s="394"/>
      <c r="J140" s="395"/>
      <c r="K140" s="395"/>
      <c r="L140" s="395"/>
      <c r="M140" s="395"/>
      <c r="N140" s="395"/>
      <c r="O140" s="395"/>
    </row>
    <row r="141" spans="1:15" s="396" customFormat="1" ht="15" thickBot="1" x14ac:dyDescent="0.25">
      <c r="A141" s="22">
        <v>21</v>
      </c>
      <c r="B141" s="26" t="s">
        <v>265</v>
      </c>
      <c r="C141" s="23" t="s">
        <v>1306</v>
      </c>
      <c r="D141" s="19">
        <v>3</v>
      </c>
      <c r="E141" s="19">
        <v>0</v>
      </c>
      <c r="F141" s="21">
        <v>10000</v>
      </c>
      <c r="G141" s="25">
        <f t="shared" si="86"/>
        <v>0</v>
      </c>
      <c r="H141" s="604">
        <f t="shared" si="83"/>
        <v>0</v>
      </c>
      <c r="I141" s="394"/>
      <c r="J141" s="395"/>
      <c r="K141" s="395"/>
      <c r="L141" s="395"/>
      <c r="M141" s="395"/>
      <c r="N141" s="395"/>
      <c r="O141" s="395"/>
    </row>
    <row r="142" spans="1:15" ht="19.149999999999999" customHeight="1" thickBot="1" x14ac:dyDescent="0.3">
      <c r="A142" s="780" t="s">
        <v>525</v>
      </c>
      <c r="B142" s="781"/>
      <c r="C142" s="781"/>
      <c r="D142" s="781"/>
      <c r="E142" s="782"/>
      <c r="F142" s="348"/>
      <c r="G142" s="349">
        <f>SUM(G121:G141)</f>
        <v>21403000</v>
      </c>
      <c r="H142" s="545">
        <f>SUM(H121:H141)</f>
        <v>36286.111487861119</v>
      </c>
      <c r="I142" s="263">
        <f>I121</f>
        <v>462000</v>
      </c>
      <c r="J142" s="263">
        <f>J121</f>
        <v>246400</v>
      </c>
      <c r="K142" s="12"/>
      <c r="L142" s="12"/>
      <c r="M142" s="12"/>
      <c r="N142" s="12"/>
      <c r="O142" s="12"/>
    </row>
    <row r="143" spans="1:15" ht="18" x14ac:dyDescent="0.25">
      <c r="A143" s="29"/>
      <c r="B143" s="205" t="s">
        <v>399</v>
      </c>
      <c r="C143" s="29"/>
      <c r="D143" s="29"/>
      <c r="E143" s="29"/>
      <c r="F143" s="29"/>
      <c r="G143" s="29"/>
      <c r="H143" s="505"/>
      <c r="I143" s="11"/>
      <c r="J143" s="12"/>
      <c r="K143" s="12"/>
      <c r="L143" s="12"/>
      <c r="M143" s="12"/>
      <c r="N143" s="12"/>
      <c r="O143" s="12"/>
    </row>
    <row r="144" spans="1:15" ht="18.75" thickBot="1" x14ac:dyDescent="0.3">
      <c r="A144" s="205"/>
      <c r="B144" s="205" t="s">
        <v>400</v>
      </c>
      <c r="C144" s="205"/>
      <c r="D144" s="205"/>
      <c r="E144" s="205"/>
      <c r="F144" s="205"/>
      <c r="G144" s="205"/>
      <c r="H144" s="546"/>
      <c r="I144" s="11"/>
      <c r="J144" s="12"/>
      <c r="K144" s="12"/>
      <c r="L144" s="12"/>
      <c r="M144" s="12"/>
      <c r="N144" s="12"/>
      <c r="O144" s="12"/>
    </row>
    <row r="145" spans="1:15" s="396" customFormat="1" ht="29.25" thickBot="1" x14ac:dyDescent="0.25">
      <c r="A145" s="392">
        <v>1</v>
      </c>
      <c r="B145" s="26" t="s">
        <v>1542</v>
      </c>
      <c r="C145" s="23" t="s">
        <v>28</v>
      </c>
      <c r="D145" s="24">
        <v>1</v>
      </c>
      <c r="E145" s="24">
        <v>3</v>
      </c>
      <c r="F145" s="25">
        <v>5000</v>
      </c>
      <c r="G145" s="25">
        <f>D145*E145*F145</f>
        <v>15000</v>
      </c>
      <c r="H145" s="604">
        <f t="shared" ref="H145:H173" si="87">G145/589.84</f>
        <v>25.43062525430625</v>
      </c>
      <c r="I145" s="642">
        <f t="shared" ref="I145:J169" si="88">G145*0.03</f>
        <v>450</v>
      </c>
      <c r="J145" s="642">
        <f>550*D145</f>
        <v>550</v>
      </c>
      <c r="K145" s="642">
        <f t="shared" ref="K145:K169" si="89">G145/D145</f>
        <v>15000</v>
      </c>
      <c r="L145" s="395"/>
      <c r="M145" s="395"/>
      <c r="N145" s="395"/>
      <c r="O145" s="395"/>
    </row>
    <row r="146" spans="1:15" s="396" customFormat="1" ht="29.25" thickBot="1" x14ac:dyDescent="0.25">
      <c r="A146" s="392">
        <v>2</v>
      </c>
      <c r="B146" s="26" t="s">
        <v>1543</v>
      </c>
      <c r="C146" s="23" t="s">
        <v>28</v>
      </c>
      <c r="D146" s="24">
        <v>1</v>
      </c>
      <c r="E146" s="24">
        <v>3</v>
      </c>
      <c r="F146" s="25">
        <v>8000</v>
      </c>
      <c r="G146" s="25">
        <f t="shared" ref="G146:G164" si="90">D146*E146*F146</f>
        <v>24000</v>
      </c>
      <c r="H146" s="604">
        <f t="shared" si="87"/>
        <v>40.689000406890003</v>
      </c>
      <c r="I146" s="642">
        <f t="shared" si="88"/>
        <v>720</v>
      </c>
      <c r="J146" s="642">
        <f t="shared" ref="J146:J163" si="91">550*D146</f>
        <v>550</v>
      </c>
      <c r="K146" s="642">
        <f t="shared" si="89"/>
        <v>24000</v>
      </c>
      <c r="L146" s="395"/>
      <c r="M146" s="395"/>
      <c r="N146" s="395"/>
      <c r="O146" s="395"/>
    </row>
    <row r="147" spans="1:15" s="396" customFormat="1" ht="29.25" thickBot="1" x14ac:dyDescent="0.25">
      <c r="A147" s="392">
        <v>3</v>
      </c>
      <c r="B147" s="26" t="s">
        <v>1544</v>
      </c>
      <c r="C147" s="23" t="s">
        <v>28</v>
      </c>
      <c r="D147" s="24">
        <v>1</v>
      </c>
      <c r="E147" s="24">
        <v>3</v>
      </c>
      <c r="F147" s="25">
        <v>8000</v>
      </c>
      <c r="G147" s="25">
        <f t="shared" si="90"/>
        <v>24000</v>
      </c>
      <c r="H147" s="604">
        <f t="shared" si="87"/>
        <v>40.689000406890003</v>
      </c>
      <c r="I147" s="642">
        <f t="shared" si="88"/>
        <v>720</v>
      </c>
      <c r="J147" s="642">
        <f t="shared" si="91"/>
        <v>550</v>
      </c>
      <c r="K147" s="642">
        <f t="shared" si="89"/>
        <v>24000</v>
      </c>
      <c r="L147" s="395"/>
      <c r="M147" s="395"/>
      <c r="N147" s="395"/>
      <c r="O147" s="395"/>
    </row>
    <row r="148" spans="1:15" s="396" customFormat="1" ht="29.25" thickBot="1" x14ac:dyDescent="0.25">
      <c r="A148" s="392">
        <v>4</v>
      </c>
      <c r="B148" s="26" t="s">
        <v>1545</v>
      </c>
      <c r="C148" s="23" t="s">
        <v>28</v>
      </c>
      <c r="D148" s="24">
        <v>1</v>
      </c>
      <c r="E148" s="24">
        <v>3</v>
      </c>
      <c r="F148" s="25">
        <v>8000</v>
      </c>
      <c r="G148" s="25">
        <f>D148*E148*F148</f>
        <v>24000</v>
      </c>
      <c r="H148" s="604">
        <f t="shared" si="87"/>
        <v>40.689000406890003</v>
      </c>
      <c r="I148" s="642">
        <f t="shared" si="88"/>
        <v>720</v>
      </c>
      <c r="J148" s="642">
        <f t="shared" si="91"/>
        <v>550</v>
      </c>
      <c r="K148" s="642">
        <f t="shared" si="89"/>
        <v>24000</v>
      </c>
      <c r="L148" s="395"/>
      <c r="M148" s="395"/>
      <c r="N148" s="395"/>
      <c r="O148" s="395"/>
    </row>
    <row r="149" spans="1:15" s="396" customFormat="1" ht="29.25" thickBot="1" x14ac:dyDescent="0.25">
      <c r="A149" s="392">
        <v>5</v>
      </c>
      <c r="B149" s="26" t="s">
        <v>1546</v>
      </c>
      <c r="C149" s="23" t="s">
        <v>28</v>
      </c>
      <c r="D149" s="24">
        <v>1</v>
      </c>
      <c r="E149" s="24">
        <v>3</v>
      </c>
      <c r="F149" s="25">
        <v>8000</v>
      </c>
      <c r="G149" s="25">
        <f t="shared" si="90"/>
        <v>24000</v>
      </c>
      <c r="H149" s="604">
        <f t="shared" si="87"/>
        <v>40.689000406890003</v>
      </c>
      <c r="I149" s="642">
        <f t="shared" si="88"/>
        <v>720</v>
      </c>
      <c r="J149" s="642">
        <f t="shared" si="91"/>
        <v>550</v>
      </c>
      <c r="K149" s="642">
        <f t="shared" si="89"/>
        <v>24000</v>
      </c>
      <c r="L149" s="395"/>
      <c r="M149" s="395"/>
      <c r="N149" s="395"/>
      <c r="O149" s="395"/>
    </row>
    <row r="150" spans="1:15" s="396" customFormat="1" ht="29.25" thickBot="1" x14ac:dyDescent="0.25">
      <c r="A150" s="392">
        <v>6</v>
      </c>
      <c r="B150" s="26" t="s">
        <v>1547</v>
      </c>
      <c r="C150" s="23" t="s">
        <v>28</v>
      </c>
      <c r="D150" s="24">
        <v>1</v>
      </c>
      <c r="E150" s="24">
        <v>3</v>
      </c>
      <c r="F150" s="25">
        <v>8000</v>
      </c>
      <c r="G150" s="25">
        <f t="shared" si="90"/>
        <v>24000</v>
      </c>
      <c r="H150" s="604">
        <f t="shared" si="87"/>
        <v>40.689000406890003</v>
      </c>
      <c r="I150" s="642">
        <f t="shared" si="88"/>
        <v>720</v>
      </c>
      <c r="J150" s="642">
        <f t="shared" si="91"/>
        <v>550</v>
      </c>
      <c r="K150" s="642">
        <f t="shared" si="89"/>
        <v>24000</v>
      </c>
      <c r="L150" s="395"/>
      <c r="M150" s="395"/>
      <c r="N150" s="395"/>
      <c r="O150" s="395"/>
    </row>
    <row r="151" spans="1:15" s="396" customFormat="1" ht="29.25" thickBot="1" x14ac:dyDescent="0.25">
      <c r="A151" s="392">
        <v>7</v>
      </c>
      <c r="B151" s="26" t="s">
        <v>1548</v>
      </c>
      <c r="C151" s="23" t="s">
        <v>28</v>
      </c>
      <c r="D151" s="24">
        <v>1</v>
      </c>
      <c r="E151" s="24">
        <v>3</v>
      </c>
      <c r="F151" s="25">
        <v>8000</v>
      </c>
      <c r="G151" s="25">
        <f t="shared" si="90"/>
        <v>24000</v>
      </c>
      <c r="H151" s="604">
        <f t="shared" si="87"/>
        <v>40.689000406890003</v>
      </c>
      <c r="I151" s="642">
        <f t="shared" si="88"/>
        <v>720</v>
      </c>
      <c r="J151" s="642">
        <f t="shared" si="91"/>
        <v>550</v>
      </c>
      <c r="K151" s="642">
        <f t="shared" si="89"/>
        <v>24000</v>
      </c>
      <c r="L151" s="395"/>
      <c r="M151" s="395"/>
      <c r="N151" s="395"/>
      <c r="O151" s="395"/>
    </row>
    <row r="152" spans="1:15" s="396" customFormat="1" ht="29.25" thickBot="1" x14ac:dyDescent="0.25">
      <c r="A152" s="392">
        <v>8</v>
      </c>
      <c r="B152" s="26" t="s">
        <v>1549</v>
      </c>
      <c r="C152" s="23" t="s">
        <v>28</v>
      </c>
      <c r="D152" s="24">
        <v>1</v>
      </c>
      <c r="E152" s="24">
        <v>3</v>
      </c>
      <c r="F152" s="25">
        <v>8000</v>
      </c>
      <c r="G152" s="25">
        <f t="shared" si="90"/>
        <v>24000</v>
      </c>
      <c r="H152" s="604">
        <f t="shared" si="87"/>
        <v>40.689000406890003</v>
      </c>
      <c r="I152" s="642">
        <f t="shared" si="88"/>
        <v>720</v>
      </c>
      <c r="J152" s="642">
        <f t="shared" si="91"/>
        <v>550</v>
      </c>
      <c r="K152" s="642">
        <f t="shared" si="89"/>
        <v>24000</v>
      </c>
      <c r="L152" s="395"/>
      <c r="M152" s="395"/>
      <c r="N152" s="395"/>
      <c r="O152" s="395"/>
    </row>
    <row r="153" spans="1:15" s="396" customFormat="1" ht="29.25" thickBot="1" x14ac:dyDescent="0.25">
      <c r="A153" s="392">
        <v>9</v>
      </c>
      <c r="B153" s="26" t="s">
        <v>1550</v>
      </c>
      <c r="C153" s="23" t="s">
        <v>28</v>
      </c>
      <c r="D153" s="24">
        <v>1</v>
      </c>
      <c r="E153" s="24">
        <v>3</v>
      </c>
      <c r="F153" s="25">
        <v>8000</v>
      </c>
      <c r="G153" s="25">
        <f t="shared" si="90"/>
        <v>24000</v>
      </c>
      <c r="H153" s="604">
        <f t="shared" si="87"/>
        <v>40.689000406890003</v>
      </c>
      <c r="I153" s="642">
        <f t="shared" si="88"/>
        <v>720</v>
      </c>
      <c r="J153" s="642">
        <f t="shared" si="91"/>
        <v>550</v>
      </c>
      <c r="K153" s="642">
        <f t="shared" si="89"/>
        <v>24000</v>
      </c>
      <c r="L153" s="395"/>
      <c r="M153" s="395"/>
      <c r="N153" s="395"/>
      <c r="O153" s="395"/>
    </row>
    <row r="154" spans="1:15" s="396" customFormat="1" ht="29.25" thickBot="1" x14ac:dyDescent="0.25">
      <c r="A154" s="392">
        <v>10</v>
      </c>
      <c r="B154" s="26" t="s">
        <v>1551</v>
      </c>
      <c r="C154" s="23" t="s">
        <v>28</v>
      </c>
      <c r="D154" s="24">
        <v>1</v>
      </c>
      <c r="E154" s="24">
        <v>3</v>
      </c>
      <c r="F154" s="25">
        <v>8000</v>
      </c>
      <c r="G154" s="25">
        <f t="shared" si="90"/>
        <v>24000</v>
      </c>
      <c r="H154" s="604">
        <f t="shared" si="87"/>
        <v>40.689000406890003</v>
      </c>
      <c r="I154" s="642">
        <f t="shared" si="88"/>
        <v>720</v>
      </c>
      <c r="J154" s="642">
        <f t="shared" si="91"/>
        <v>550</v>
      </c>
      <c r="K154" s="642">
        <f t="shared" si="89"/>
        <v>24000</v>
      </c>
      <c r="L154" s="395"/>
      <c r="M154" s="395"/>
      <c r="N154" s="395"/>
      <c r="O154" s="395"/>
    </row>
    <row r="155" spans="1:15" s="396" customFormat="1" ht="29.25" thickBot="1" x14ac:dyDescent="0.25">
      <c r="A155" s="392">
        <v>11</v>
      </c>
      <c r="B155" s="26" t="s">
        <v>1552</v>
      </c>
      <c r="C155" s="23" t="s">
        <v>28</v>
      </c>
      <c r="D155" s="24">
        <v>1</v>
      </c>
      <c r="E155" s="24">
        <v>3</v>
      </c>
      <c r="F155" s="25">
        <v>8000</v>
      </c>
      <c r="G155" s="25">
        <f t="shared" si="90"/>
        <v>24000</v>
      </c>
      <c r="H155" s="604">
        <f t="shared" si="87"/>
        <v>40.689000406890003</v>
      </c>
      <c r="I155" s="642">
        <f t="shared" si="88"/>
        <v>720</v>
      </c>
      <c r="J155" s="642">
        <f t="shared" si="91"/>
        <v>550</v>
      </c>
      <c r="K155" s="642">
        <f t="shared" si="89"/>
        <v>24000</v>
      </c>
      <c r="L155" s="395"/>
      <c r="M155" s="395"/>
      <c r="N155" s="395"/>
      <c r="O155" s="395"/>
    </row>
    <row r="156" spans="1:15" s="396" customFormat="1" ht="29.25" thickBot="1" x14ac:dyDescent="0.25">
      <c r="A156" s="392">
        <v>12</v>
      </c>
      <c r="B156" s="26" t="s">
        <v>1553</v>
      </c>
      <c r="C156" s="23" t="s">
        <v>28</v>
      </c>
      <c r="D156" s="24">
        <v>1</v>
      </c>
      <c r="E156" s="24">
        <v>3</v>
      </c>
      <c r="F156" s="25">
        <v>8000</v>
      </c>
      <c r="G156" s="25">
        <f t="shared" si="90"/>
        <v>24000</v>
      </c>
      <c r="H156" s="604">
        <f t="shared" si="87"/>
        <v>40.689000406890003</v>
      </c>
      <c r="I156" s="642">
        <f t="shared" si="88"/>
        <v>720</v>
      </c>
      <c r="J156" s="642">
        <f t="shared" si="91"/>
        <v>550</v>
      </c>
      <c r="K156" s="642">
        <f t="shared" si="89"/>
        <v>24000</v>
      </c>
      <c r="L156" s="395"/>
      <c r="M156" s="395"/>
      <c r="N156" s="395"/>
      <c r="O156" s="395"/>
    </row>
    <row r="157" spans="1:15" s="396" customFormat="1" ht="29.25" thickBot="1" x14ac:dyDescent="0.25">
      <c r="A157" s="392">
        <v>13</v>
      </c>
      <c r="B157" s="26" t="s">
        <v>1554</v>
      </c>
      <c r="C157" s="23" t="s">
        <v>28</v>
      </c>
      <c r="D157" s="24">
        <v>1</v>
      </c>
      <c r="E157" s="24">
        <v>3</v>
      </c>
      <c r="F157" s="25">
        <v>8000</v>
      </c>
      <c r="G157" s="25">
        <f t="shared" si="90"/>
        <v>24000</v>
      </c>
      <c r="H157" s="604">
        <f t="shared" si="87"/>
        <v>40.689000406890003</v>
      </c>
      <c r="I157" s="642">
        <f t="shared" si="88"/>
        <v>720</v>
      </c>
      <c r="J157" s="642">
        <f t="shared" si="91"/>
        <v>550</v>
      </c>
      <c r="K157" s="642">
        <f t="shared" si="89"/>
        <v>24000</v>
      </c>
      <c r="L157" s="395"/>
      <c r="M157" s="395"/>
      <c r="N157" s="395"/>
      <c r="O157" s="395"/>
    </row>
    <row r="158" spans="1:15" s="396" customFormat="1" ht="29.25" thickBot="1" x14ac:dyDescent="0.25">
      <c r="A158" s="392">
        <v>14</v>
      </c>
      <c r="B158" s="26" t="s">
        <v>1555</v>
      </c>
      <c r="C158" s="23" t="s">
        <v>28</v>
      </c>
      <c r="D158" s="24">
        <v>1</v>
      </c>
      <c r="E158" s="24">
        <v>3</v>
      </c>
      <c r="F158" s="25">
        <v>8000</v>
      </c>
      <c r="G158" s="25">
        <f t="shared" si="90"/>
        <v>24000</v>
      </c>
      <c r="H158" s="604">
        <f t="shared" si="87"/>
        <v>40.689000406890003</v>
      </c>
      <c r="I158" s="642">
        <f t="shared" si="88"/>
        <v>720</v>
      </c>
      <c r="J158" s="642">
        <f t="shared" si="91"/>
        <v>550</v>
      </c>
      <c r="K158" s="642">
        <f t="shared" si="89"/>
        <v>24000</v>
      </c>
      <c r="L158" s="395"/>
      <c r="M158" s="395"/>
      <c r="N158" s="395"/>
      <c r="O158" s="395"/>
    </row>
    <row r="159" spans="1:15" s="396" customFormat="1" ht="29.25" thickBot="1" x14ac:dyDescent="0.25">
      <c r="A159" s="392">
        <v>15</v>
      </c>
      <c r="B159" s="26" t="s">
        <v>318</v>
      </c>
      <c r="C159" s="23" t="s">
        <v>28</v>
      </c>
      <c r="D159" s="24">
        <v>1</v>
      </c>
      <c r="E159" s="24">
        <v>3</v>
      </c>
      <c r="F159" s="25">
        <v>5000</v>
      </c>
      <c r="G159" s="25">
        <f t="shared" si="90"/>
        <v>15000</v>
      </c>
      <c r="H159" s="604">
        <f t="shared" si="87"/>
        <v>25.43062525430625</v>
      </c>
      <c r="I159" s="642">
        <f t="shared" si="88"/>
        <v>450</v>
      </c>
      <c r="J159" s="642">
        <f t="shared" si="91"/>
        <v>550</v>
      </c>
      <c r="K159" s="642">
        <f t="shared" si="89"/>
        <v>15000</v>
      </c>
      <c r="L159" s="395"/>
      <c r="M159" s="395"/>
      <c r="N159" s="395"/>
      <c r="O159" s="395"/>
    </row>
    <row r="160" spans="1:15" s="396" customFormat="1" ht="24" customHeight="1" thickBot="1" x14ac:dyDescent="0.25">
      <c r="A160" s="392">
        <v>16</v>
      </c>
      <c r="B160" s="26" t="s">
        <v>319</v>
      </c>
      <c r="C160" s="23" t="s">
        <v>28</v>
      </c>
      <c r="D160" s="24">
        <v>1</v>
      </c>
      <c r="E160" s="24">
        <v>3</v>
      </c>
      <c r="F160" s="25">
        <v>5000</v>
      </c>
      <c r="G160" s="25">
        <f t="shared" si="90"/>
        <v>15000</v>
      </c>
      <c r="H160" s="604">
        <f t="shared" si="87"/>
        <v>25.43062525430625</v>
      </c>
      <c r="I160" s="642">
        <f t="shared" si="88"/>
        <v>450</v>
      </c>
      <c r="J160" s="642">
        <f t="shared" si="91"/>
        <v>550</v>
      </c>
      <c r="K160" s="642">
        <f t="shared" si="89"/>
        <v>15000</v>
      </c>
      <c r="L160" s="395"/>
      <c r="M160" s="395"/>
      <c r="N160" s="395"/>
      <c r="O160" s="395"/>
    </row>
    <row r="161" spans="1:15" ht="28.5" x14ac:dyDescent="0.25">
      <c r="A161" s="392">
        <v>17</v>
      </c>
      <c r="B161" s="189" t="s">
        <v>1471</v>
      </c>
      <c r="C161" s="225" t="s">
        <v>28</v>
      </c>
      <c r="D161" s="226">
        <v>1</v>
      </c>
      <c r="E161" s="226">
        <v>3</v>
      </c>
      <c r="F161" s="227">
        <v>5000</v>
      </c>
      <c r="G161" s="25">
        <f t="shared" si="90"/>
        <v>15000</v>
      </c>
      <c r="H161" s="268">
        <f t="shared" si="87"/>
        <v>25.43062525430625</v>
      </c>
      <c r="I161" s="642">
        <f t="shared" si="88"/>
        <v>450</v>
      </c>
      <c r="J161" s="642">
        <f t="shared" si="91"/>
        <v>550</v>
      </c>
      <c r="K161" s="642">
        <f t="shared" si="89"/>
        <v>15000</v>
      </c>
      <c r="L161" s="12"/>
      <c r="M161" s="12"/>
      <c r="N161" s="12"/>
      <c r="O161" s="500"/>
    </row>
    <row r="162" spans="1:15" ht="29.25" thickBot="1" x14ac:dyDescent="0.3">
      <c r="A162" s="392">
        <v>18</v>
      </c>
      <c r="B162" s="189" t="s">
        <v>1472</v>
      </c>
      <c r="C162" s="225" t="s">
        <v>28</v>
      </c>
      <c r="D162" s="226">
        <v>1</v>
      </c>
      <c r="E162" s="226">
        <v>3</v>
      </c>
      <c r="F162" s="227">
        <v>5000</v>
      </c>
      <c r="G162" s="25">
        <f t="shared" si="90"/>
        <v>15000</v>
      </c>
      <c r="H162" s="268">
        <f t="shared" si="87"/>
        <v>25.43062525430625</v>
      </c>
      <c r="I162" s="642">
        <f t="shared" si="88"/>
        <v>450</v>
      </c>
      <c r="J162" s="642">
        <f t="shared" si="91"/>
        <v>550</v>
      </c>
      <c r="K162" s="642">
        <f t="shared" si="89"/>
        <v>15000</v>
      </c>
      <c r="L162" s="12"/>
      <c r="M162" s="12"/>
      <c r="N162" s="12"/>
      <c r="O162" s="500"/>
    </row>
    <row r="163" spans="1:15" s="396" customFormat="1" ht="21" customHeight="1" thickBot="1" x14ac:dyDescent="0.25">
      <c r="A163" s="392">
        <v>19</v>
      </c>
      <c r="B163" s="26" t="s">
        <v>320</v>
      </c>
      <c r="C163" s="23" t="s">
        <v>28</v>
      </c>
      <c r="D163" s="24">
        <v>1</v>
      </c>
      <c r="E163" s="24">
        <v>3</v>
      </c>
      <c r="F163" s="25">
        <v>5000</v>
      </c>
      <c r="G163" s="25">
        <f t="shared" si="90"/>
        <v>15000</v>
      </c>
      <c r="H163" s="604">
        <f t="shared" si="87"/>
        <v>25.43062525430625</v>
      </c>
      <c r="I163" s="642">
        <f t="shared" si="88"/>
        <v>450</v>
      </c>
      <c r="J163" s="642">
        <f t="shared" si="91"/>
        <v>550</v>
      </c>
      <c r="K163" s="642">
        <f t="shared" si="89"/>
        <v>15000</v>
      </c>
      <c r="L163" s="395"/>
      <c r="M163" s="395"/>
      <c r="N163" s="395"/>
      <c r="O163" s="395"/>
    </row>
    <row r="164" spans="1:15" s="396" customFormat="1" ht="29.25" thickBot="1" x14ac:dyDescent="0.25">
      <c r="A164" s="392">
        <v>20</v>
      </c>
      <c r="B164" s="26" t="s">
        <v>321</v>
      </c>
      <c r="C164" s="23" t="s">
        <v>28</v>
      </c>
      <c r="D164" s="24">
        <v>1</v>
      </c>
      <c r="E164" s="24">
        <v>3</v>
      </c>
      <c r="F164" s="25">
        <v>5000</v>
      </c>
      <c r="G164" s="25">
        <f t="shared" si="90"/>
        <v>15000</v>
      </c>
      <c r="H164" s="604">
        <f t="shared" si="87"/>
        <v>25.43062525430625</v>
      </c>
      <c r="I164" s="642">
        <f t="shared" si="88"/>
        <v>450</v>
      </c>
      <c r="J164" s="642">
        <f>550*D164</f>
        <v>550</v>
      </c>
      <c r="K164" s="642">
        <f t="shared" si="89"/>
        <v>15000</v>
      </c>
      <c r="L164" s="395"/>
      <c r="M164" s="395"/>
      <c r="N164" s="395"/>
      <c r="O164" s="395"/>
    </row>
    <row r="165" spans="1:15" s="396" customFormat="1" thickBot="1" x14ac:dyDescent="0.25">
      <c r="A165" s="392">
        <v>21</v>
      </c>
      <c r="B165" s="26" t="s">
        <v>1556</v>
      </c>
      <c r="C165" s="23" t="s">
        <v>28</v>
      </c>
      <c r="D165" s="24">
        <v>3</v>
      </c>
      <c r="E165" s="24">
        <v>3</v>
      </c>
      <c r="F165" s="25">
        <v>12500</v>
      </c>
      <c r="G165" s="25">
        <f t="shared" ref="G165:G173" si="92">D165*E165*F165</f>
        <v>112500</v>
      </c>
      <c r="H165" s="604">
        <f t="shared" si="87"/>
        <v>190.72968940729689</v>
      </c>
      <c r="I165" s="642">
        <f t="shared" si="88"/>
        <v>3375</v>
      </c>
      <c r="J165" s="642">
        <f>1050*D165</f>
        <v>3150</v>
      </c>
      <c r="K165" s="642">
        <f t="shared" si="89"/>
        <v>37500</v>
      </c>
      <c r="L165" s="395"/>
      <c r="M165" s="395"/>
      <c r="N165" s="395"/>
      <c r="O165" s="395"/>
    </row>
    <row r="166" spans="1:15" s="396" customFormat="1" thickBot="1" x14ac:dyDescent="0.25">
      <c r="A166" s="392">
        <v>22</v>
      </c>
      <c r="B166" s="26" t="s">
        <v>1339</v>
      </c>
      <c r="C166" s="23" t="s">
        <v>28</v>
      </c>
      <c r="D166" s="24">
        <v>1</v>
      </c>
      <c r="E166" s="24">
        <v>3</v>
      </c>
      <c r="F166" s="25">
        <v>5000</v>
      </c>
      <c r="G166" s="25">
        <f t="shared" si="92"/>
        <v>15000</v>
      </c>
      <c r="H166" s="604">
        <f t="shared" si="87"/>
        <v>25.43062525430625</v>
      </c>
      <c r="I166" s="642">
        <f t="shared" si="88"/>
        <v>450</v>
      </c>
      <c r="J166" s="642">
        <f>550*D166</f>
        <v>550</v>
      </c>
      <c r="K166" s="642">
        <f t="shared" si="89"/>
        <v>15000</v>
      </c>
      <c r="L166" s="395"/>
      <c r="M166" s="395"/>
      <c r="N166" s="395"/>
      <c r="O166" s="395"/>
    </row>
    <row r="167" spans="1:15" s="396" customFormat="1" thickBot="1" x14ac:dyDescent="0.25">
      <c r="A167" s="392">
        <v>23</v>
      </c>
      <c r="B167" s="26" t="s">
        <v>1557</v>
      </c>
      <c r="C167" s="23" t="s">
        <v>28</v>
      </c>
      <c r="D167" s="24">
        <v>3</v>
      </c>
      <c r="E167" s="24">
        <v>5</v>
      </c>
      <c r="F167" s="25">
        <v>25000</v>
      </c>
      <c r="G167" s="25">
        <f t="shared" si="92"/>
        <v>375000</v>
      </c>
      <c r="H167" s="604">
        <f t="shared" si="87"/>
        <v>635.76563135765628</v>
      </c>
      <c r="I167" s="642">
        <f t="shared" si="88"/>
        <v>11250</v>
      </c>
      <c r="J167" s="642">
        <f>1900*D167</f>
        <v>5700</v>
      </c>
      <c r="K167" s="642">
        <f t="shared" si="89"/>
        <v>125000</v>
      </c>
      <c r="L167" s="395"/>
      <c r="M167" s="395"/>
      <c r="N167" s="395"/>
      <c r="O167" s="395"/>
    </row>
    <row r="168" spans="1:15" s="396" customFormat="1" thickBot="1" x14ac:dyDescent="0.25">
      <c r="A168" s="392">
        <v>24</v>
      </c>
      <c r="B168" s="26" t="s">
        <v>1558</v>
      </c>
      <c r="C168" s="23" t="s">
        <v>28</v>
      </c>
      <c r="D168" s="24">
        <v>1</v>
      </c>
      <c r="E168" s="24">
        <v>3</v>
      </c>
      <c r="F168" s="25">
        <v>3000</v>
      </c>
      <c r="G168" s="25">
        <f t="shared" si="92"/>
        <v>9000</v>
      </c>
      <c r="H168" s="604">
        <f t="shared" si="87"/>
        <v>15.258375152583751</v>
      </c>
      <c r="I168" s="642">
        <f t="shared" si="88"/>
        <v>270</v>
      </c>
      <c r="J168" s="642">
        <f>350*D168</f>
        <v>350</v>
      </c>
      <c r="K168" s="642">
        <f t="shared" si="89"/>
        <v>9000</v>
      </c>
      <c r="L168" s="395"/>
      <c r="M168" s="395"/>
      <c r="N168" s="395"/>
      <c r="O168" s="395"/>
    </row>
    <row r="169" spans="1:15" s="396" customFormat="1" thickBot="1" x14ac:dyDescent="0.25">
      <c r="A169" s="392">
        <v>25</v>
      </c>
      <c r="B169" s="26" t="s">
        <v>271</v>
      </c>
      <c r="C169" s="23" t="s">
        <v>28</v>
      </c>
      <c r="D169" s="24">
        <v>2</v>
      </c>
      <c r="E169" s="24">
        <v>3</v>
      </c>
      <c r="F169" s="25">
        <v>0</v>
      </c>
      <c r="G169" s="25">
        <f t="shared" si="92"/>
        <v>0</v>
      </c>
      <c r="H169" s="604">
        <f t="shared" si="87"/>
        <v>0</v>
      </c>
      <c r="I169" s="642">
        <f t="shared" si="88"/>
        <v>0</v>
      </c>
      <c r="J169" s="642">
        <f t="shared" si="88"/>
        <v>0</v>
      </c>
      <c r="K169" s="642">
        <f t="shared" si="89"/>
        <v>0</v>
      </c>
      <c r="L169" s="395"/>
      <c r="M169" s="395"/>
      <c r="N169" s="395"/>
      <c r="O169" s="395"/>
    </row>
    <row r="170" spans="1:15" s="396" customFormat="1" thickBot="1" x14ac:dyDescent="0.25">
      <c r="A170" s="392">
        <v>26</v>
      </c>
      <c r="B170" s="26" t="s">
        <v>1559</v>
      </c>
      <c r="C170" s="23" t="s">
        <v>28</v>
      </c>
      <c r="D170" s="24">
        <f>SUM(D145:D169)</f>
        <v>30</v>
      </c>
      <c r="E170" s="24">
        <v>3</v>
      </c>
      <c r="F170" s="25">
        <v>6500</v>
      </c>
      <c r="G170" s="25">
        <f t="shared" si="92"/>
        <v>585000</v>
      </c>
      <c r="H170" s="604">
        <f t="shared" si="87"/>
        <v>991.79438491794383</v>
      </c>
      <c r="I170" s="642">
        <f>G170*0.03</f>
        <v>17550</v>
      </c>
      <c r="J170" s="642">
        <f>6400*1</f>
        <v>6400</v>
      </c>
      <c r="K170" s="642">
        <f>G170*1</f>
        <v>585000</v>
      </c>
      <c r="L170" s="395"/>
      <c r="M170" s="395"/>
      <c r="N170" s="395"/>
      <c r="O170" s="395"/>
    </row>
    <row r="171" spans="1:15" s="396" customFormat="1" ht="18.75" thickBot="1" x14ac:dyDescent="0.25">
      <c r="A171" s="392">
        <v>27</v>
      </c>
      <c r="B171" s="26" t="s">
        <v>1560</v>
      </c>
      <c r="C171" s="23" t="s">
        <v>28</v>
      </c>
      <c r="D171" s="24">
        <v>70</v>
      </c>
      <c r="E171" s="24">
        <v>1</v>
      </c>
      <c r="F171" s="25">
        <v>800</v>
      </c>
      <c r="G171" s="25">
        <f t="shared" si="92"/>
        <v>56000</v>
      </c>
      <c r="H171" s="604">
        <f t="shared" si="87"/>
        <v>94.941000949410011</v>
      </c>
      <c r="I171" s="263">
        <f>SUM(I145:I170)</f>
        <v>45405</v>
      </c>
      <c r="J171" s="263">
        <f>SUM(J145:J170)</f>
        <v>27150</v>
      </c>
      <c r="K171" s="395"/>
      <c r="L171" s="395"/>
      <c r="M171" s="395"/>
      <c r="N171" s="395"/>
      <c r="O171" s="395"/>
    </row>
    <row r="172" spans="1:15" s="396" customFormat="1" ht="18" customHeight="1" thickBot="1" x14ac:dyDescent="0.25">
      <c r="A172" s="392">
        <v>28</v>
      </c>
      <c r="B172" s="26" t="s">
        <v>1281</v>
      </c>
      <c r="C172" s="23" t="s">
        <v>28</v>
      </c>
      <c r="D172" s="51">
        <v>13</v>
      </c>
      <c r="E172" s="51">
        <v>2</v>
      </c>
      <c r="F172" s="730">
        <v>1500</v>
      </c>
      <c r="G172" s="25">
        <f t="shared" si="92"/>
        <v>39000</v>
      </c>
      <c r="H172" s="604">
        <f t="shared" si="87"/>
        <v>66.119625661196253</v>
      </c>
      <c r="I172" s="642">
        <f>G172*0.03</f>
        <v>1170</v>
      </c>
      <c r="J172" s="642">
        <f>250*D172</f>
        <v>3250</v>
      </c>
      <c r="K172" s="395"/>
      <c r="L172" s="395"/>
      <c r="M172" s="395"/>
      <c r="N172" s="395"/>
      <c r="O172" s="395"/>
    </row>
    <row r="173" spans="1:15" s="396" customFormat="1" ht="18" customHeight="1" thickBot="1" x14ac:dyDescent="0.25">
      <c r="A173" s="392">
        <v>29</v>
      </c>
      <c r="B173" s="26" t="s">
        <v>273</v>
      </c>
      <c r="C173" s="39" t="s">
        <v>29</v>
      </c>
      <c r="D173" s="24">
        <v>50</v>
      </c>
      <c r="E173" s="23">
        <v>1</v>
      </c>
      <c r="F173" s="25">
        <v>800</v>
      </c>
      <c r="G173" s="25">
        <f t="shared" si="92"/>
        <v>40000</v>
      </c>
      <c r="H173" s="604">
        <f t="shared" si="87"/>
        <v>67.81500067815</v>
      </c>
      <c r="I173" s="642">
        <v>0</v>
      </c>
      <c r="J173" s="642">
        <v>0</v>
      </c>
      <c r="K173" s="395"/>
      <c r="L173" s="395"/>
      <c r="M173" s="395"/>
      <c r="N173" s="395"/>
      <c r="O173" s="395"/>
    </row>
    <row r="174" spans="1:15" s="34" customFormat="1" ht="18.75" thickBot="1" x14ac:dyDescent="0.3">
      <c r="A174" s="341"/>
      <c r="B174" s="342" t="s">
        <v>1422</v>
      </c>
      <c r="C174" s="343"/>
      <c r="D174" s="343"/>
      <c r="E174" s="343"/>
      <c r="F174" s="344"/>
      <c r="G174" s="344">
        <f>SUM(G145:G173)</f>
        <v>1648500</v>
      </c>
      <c r="H174" s="516">
        <f>SUM(H145:H173)</f>
        <v>2794.8257154482571</v>
      </c>
      <c r="I174" s="263">
        <f>SUM(I172:I173)</f>
        <v>1170</v>
      </c>
      <c r="J174" s="263">
        <f>SUM(J172:J173)</f>
        <v>3250</v>
      </c>
      <c r="K174" s="12"/>
      <c r="L174" s="12"/>
      <c r="M174" s="12"/>
      <c r="N174" s="12"/>
      <c r="O174" s="12"/>
    </row>
    <row r="175" spans="1:15" ht="18.75" thickBot="1" x14ac:dyDescent="0.3">
      <c r="A175" s="29"/>
      <c r="B175" s="205" t="s">
        <v>401</v>
      </c>
      <c r="C175" s="29"/>
      <c r="D175" s="29"/>
      <c r="E175" s="29"/>
      <c r="F175" s="29"/>
      <c r="G175" s="29"/>
      <c r="H175" s="505"/>
      <c r="I175" s="11"/>
      <c r="J175" s="12"/>
      <c r="K175" s="12"/>
      <c r="L175" s="12"/>
      <c r="M175" s="12"/>
      <c r="N175" s="12"/>
      <c r="O175" s="12"/>
    </row>
    <row r="176" spans="1:15" ht="16.5" thickBot="1" x14ac:dyDescent="0.3">
      <c r="A176" s="22">
        <v>1</v>
      </c>
      <c r="B176" s="26" t="s">
        <v>40</v>
      </c>
      <c r="C176" s="23" t="s">
        <v>28</v>
      </c>
      <c r="D176" s="24">
        <v>40</v>
      </c>
      <c r="E176" s="23">
        <v>3</v>
      </c>
      <c r="F176" s="25">
        <v>3000</v>
      </c>
      <c r="G176" s="25">
        <f t="shared" ref="G176:G192" si="93">D176*E176*F176</f>
        <v>360000</v>
      </c>
      <c r="H176" s="544">
        <f t="shared" ref="H176:H192" si="94">G176/589.84</f>
        <v>610.33500610335</v>
      </c>
      <c r="I176" s="642">
        <f t="shared" ref="I176:I191" si="95">G176*0.03</f>
        <v>10800</v>
      </c>
      <c r="J176" s="642">
        <f>350*D176</f>
        <v>14000</v>
      </c>
      <c r="K176" s="642">
        <f t="shared" ref="K176:K191" si="96">G176/D176</f>
        <v>9000</v>
      </c>
      <c r="L176" s="12"/>
      <c r="M176" s="12"/>
      <c r="N176" s="12"/>
      <c r="O176" s="12"/>
    </row>
    <row r="177" spans="1:15" ht="16.5" thickBot="1" x14ac:dyDescent="0.3">
      <c r="A177" s="22">
        <v>2</v>
      </c>
      <c r="B177" s="26" t="s">
        <v>322</v>
      </c>
      <c r="C177" s="23" t="s">
        <v>28</v>
      </c>
      <c r="D177" s="24">
        <v>20</v>
      </c>
      <c r="E177" s="23">
        <v>3</v>
      </c>
      <c r="F177" s="25">
        <v>3000</v>
      </c>
      <c r="G177" s="25">
        <f t="shared" si="93"/>
        <v>180000</v>
      </c>
      <c r="H177" s="544">
        <f t="shared" si="94"/>
        <v>305.167503051675</v>
      </c>
      <c r="I177" s="642">
        <f t="shared" si="95"/>
        <v>5400</v>
      </c>
      <c r="J177" s="642">
        <f t="shared" ref="J177:J183" si="97">350*D177</f>
        <v>7000</v>
      </c>
      <c r="K177" s="642">
        <f t="shared" si="96"/>
        <v>9000</v>
      </c>
      <c r="L177" s="12"/>
      <c r="M177" s="12"/>
      <c r="N177" s="12"/>
      <c r="O177" s="12"/>
    </row>
    <row r="178" spans="1:15" ht="16.5" thickBot="1" x14ac:dyDescent="0.3">
      <c r="A178" s="22">
        <v>3</v>
      </c>
      <c r="B178" s="26" t="s">
        <v>323</v>
      </c>
      <c r="C178" s="23" t="s">
        <v>28</v>
      </c>
      <c r="D178" s="24">
        <v>10</v>
      </c>
      <c r="E178" s="23">
        <v>3</v>
      </c>
      <c r="F178" s="25">
        <v>3000</v>
      </c>
      <c r="G178" s="25">
        <f t="shared" si="93"/>
        <v>90000</v>
      </c>
      <c r="H178" s="544">
        <f t="shared" si="94"/>
        <v>152.5837515258375</v>
      </c>
      <c r="I178" s="642">
        <f t="shared" si="95"/>
        <v>2700</v>
      </c>
      <c r="J178" s="642">
        <f t="shared" si="97"/>
        <v>3500</v>
      </c>
      <c r="K178" s="642">
        <f t="shared" si="96"/>
        <v>9000</v>
      </c>
      <c r="L178" s="12"/>
      <c r="M178" s="12"/>
      <c r="N178" s="12"/>
      <c r="O178" s="12"/>
    </row>
    <row r="179" spans="1:15" ht="16.5" thickBot="1" x14ac:dyDescent="0.3">
      <c r="A179" s="22">
        <v>4</v>
      </c>
      <c r="B179" s="26" t="s">
        <v>324</v>
      </c>
      <c r="C179" s="23" t="s">
        <v>28</v>
      </c>
      <c r="D179" s="24">
        <v>18</v>
      </c>
      <c r="E179" s="23">
        <v>3</v>
      </c>
      <c r="F179" s="25">
        <v>3000</v>
      </c>
      <c r="G179" s="25">
        <f t="shared" si="93"/>
        <v>162000</v>
      </c>
      <c r="H179" s="544">
        <f t="shared" si="94"/>
        <v>274.65075274650752</v>
      </c>
      <c r="I179" s="642">
        <f t="shared" si="95"/>
        <v>4860</v>
      </c>
      <c r="J179" s="642">
        <f t="shared" si="97"/>
        <v>6300</v>
      </c>
      <c r="K179" s="642">
        <f t="shared" si="96"/>
        <v>9000</v>
      </c>
      <c r="L179" s="12"/>
      <c r="M179" s="12"/>
      <c r="N179" s="12"/>
      <c r="O179" s="12"/>
    </row>
    <row r="180" spans="1:15" ht="16.5" thickBot="1" x14ac:dyDescent="0.3">
      <c r="A180" s="22">
        <v>5</v>
      </c>
      <c r="B180" s="26" t="s">
        <v>325</v>
      </c>
      <c r="C180" s="23" t="s">
        <v>28</v>
      </c>
      <c r="D180" s="24">
        <v>16</v>
      </c>
      <c r="E180" s="23">
        <v>3</v>
      </c>
      <c r="F180" s="25">
        <v>3000</v>
      </c>
      <c r="G180" s="25">
        <f t="shared" si="93"/>
        <v>144000</v>
      </c>
      <c r="H180" s="544">
        <f t="shared" si="94"/>
        <v>244.13400244134002</v>
      </c>
      <c r="I180" s="642">
        <f t="shared" si="95"/>
        <v>4320</v>
      </c>
      <c r="J180" s="642">
        <f t="shared" si="97"/>
        <v>5600</v>
      </c>
      <c r="K180" s="642">
        <f t="shared" si="96"/>
        <v>9000</v>
      </c>
      <c r="L180" s="12"/>
      <c r="M180" s="12"/>
      <c r="N180" s="12"/>
      <c r="O180" s="12"/>
    </row>
    <row r="181" spans="1:15" ht="16.5" thickBot="1" x14ac:dyDescent="0.3">
      <c r="A181" s="22">
        <v>6</v>
      </c>
      <c r="B181" s="26" t="s">
        <v>326</v>
      </c>
      <c r="C181" s="23" t="s">
        <v>28</v>
      </c>
      <c r="D181" s="24">
        <v>8</v>
      </c>
      <c r="E181" s="23">
        <v>3</v>
      </c>
      <c r="F181" s="25">
        <v>3000</v>
      </c>
      <c r="G181" s="25">
        <f t="shared" si="93"/>
        <v>72000</v>
      </c>
      <c r="H181" s="544">
        <f t="shared" si="94"/>
        <v>122.06700122067001</v>
      </c>
      <c r="I181" s="642">
        <f t="shared" si="95"/>
        <v>2160</v>
      </c>
      <c r="J181" s="642">
        <f t="shared" si="97"/>
        <v>2800</v>
      </c>
      <c r="K181" s="642">
        <f t="shared" si="96"/>
        <v>9000</v>
      </c>
      <c r="L181" s="12"/>
      <c r="M181" s="12"/>
      <c r="N181" s="12"/>
      <c r="O181" s="12"/>
    </row>
    <row r="182" spans="1:15" ht="16.5" thickBot="1" x14ac:dyDescent="0.3">
      <c r="A182" s="22">
        <v>7</v>
      </c>
      <c r="B182" s="26" t="s">
        <v>327</v>
      </c>
      <c r="C182" s="23" t="s">
        <v>28</v>
      </c>
      <c r="D182" s="24">
        <v>2</v>
      </c>
      <c r="E182" s="23">
        <v>3</v>
      </c>
      <c r="F182" s="25">
        <v>3000</v>
      </c>
      <c r="G182" s="25">
        <f t="shared" si="93"/>
        <v>18000</v>
      </c>
      <c r="H182" s="544">
        <f t="shared" si="94"/>
        <v>30.516750305167502</v>
      </c>
      <c r="I182" s="642">
        <f t="shared" si="95"/>
        <v>540</v>
      </c>
      <c r="J182" s="642">
        <f t="shared" si="97"/>
        <v>700</v>
      </c>
      <c r="K182" s="642">
        <f t="shared" si="96"/>
        <v>9000</v>
      </c>
      <c r="L182" s="12"/>
      <c r="M182" s="12"/>
      <c r="N182" s="12"/>
      <c r="O182" s="12"/>
    </row>
    <row r="183" spans="1:15" ht="16.5" thickBot="1" x14ac:dyDescent="0.3">
      <c r="A183" s="22">
        <v>8</v>
      </c>
      <c r="B183" s="26" t="s">
        <v>328</v>
      </c>
      <c r="C183" s="23" t="s">
        <v>28</v>
      </c>
      <c r="D183" s="24">
        <v>10</v>
      </c>
      <c r="E183" s="23">
        <v>3</v>
      </c>
      <c r="F183" s="25">
        <v>3000</v>
      </c>
      <c r="G183" s="25">
        <f t="shared" si="93"/>
        <v>90000</v>
      </c>
      <c r="H183" s="544">
        <f t="shared" si="94"/>
        <v>152.5837515258375</v>
      </c>
      <c r="I183" s="642">
        <f t="shared" si="95"/>
        <v>2700</v>
      </c>
      <c r="J183" s="642">
        <f t="shared" si="97"/>
        <v>3500</v>
      </c>
      <c r="K183" s="642">
        <f t="shared" si="96"/>
        <v>9000</v>
      </c>
      <c r="L183" s="12"/>
      <c r="M183" s="12"/>
      <c r="N183" s="12"/>
      <c r="O183" s="12"/>
    </row>
    <row r="184" spans="1:15" ht="16.5" thickBot="1" x14ac:dyDescent="0.3">
      <c r="A184" s="22">
        <v>9</v>
      </c>
      <c r="B184" s="26" t="s">
        <v>329</v>
      </c>
      <c r="C184" s="23" t="s">
        <v>28</v>
      </c>
      <c r="D184" s="24">
        <v>6</v>
      </c>
      <c r="E184" s="23">
        <v>3</v>
      </c>
      <c r="F184" s="25">
        <v>3000</v>
      </c>
      <c r="G184" s="25">
        <f t="shared" si="93"/>
        <v>54000</v>
      </c>
      <c r="H184" s="544">
        <f t="shared" si="94"/>
        <v>91.550250915502502</v>
      </c>
      <c r="I184" s="642">
        <f t="shared" si="95"/>
        <v>1620</v>
      </c>
      <c r="J184" s="642">
        <f t="shared" ref="J184:J190" si="98">350*D184</f>
        <v>2100</v>
      </c>
      <c r="K184" s="642">
        <f t="shared" si="96"/>
        <v>9000</v>
      </c>
      <c r="L184" s="12"/>
      <c r="M184" s="12"/>
      <c r="N184" s="12"/>
      <c r="O184" s="12"/>
    </row>
    <row r="185" spans="1:15" ht="16.5" thickBot="1" x14ac:dyDescent="0.3">
      <c r="A185" s="22">
        <v>10</v>
      </c>
      <c r="B185" s="26" t="s">
        <v>330</v>
      </c>
      <c r="C185" s="23" t="s">
        <v>28</v>
      </c>
      <c r="D185" s="24">
        <v>8</v>
      </c>
      <c r="E185" s="23">
        <v>3</v>
      </c>
      <c r="F185" s="25">
        <v>3000</v>
      </c>
      <c r="G185" s="25">
        <f t="shared" si="93"/>
        <v>72000</v>
      </c>
      <c r="H185" s="544">
        <f t="shared" si="94"/>
        <v>122.06700122067001</v>
      </c>
      <c r="I185" s="642">
        <f t="shared" si="95"/>
        <v>2160</v>
      </c>
      <c r="J185" s="642">
        <f>350*D185</f>
        <v>2800</v>
      </c>
      <c r="K185" s="642">
        <f t="shared" si="96"/>
        <v>9000</v>
      </c>
      <c r="L185" s="12"/>
      <c r="M185" s="12"/>
      <c r="N185" s="12"/>
      <c r="O185" s="12"/>
    </row>
    <row r="186" spans="1:15" ht="16.5" thickBot="1" x14ac:dyDescent="0.3">
      <c r="A186" s="22">
        <v>11</v>
      </c>
      <c r="B186" s="26" t="s">
        <v>331</v>
      </c>
      <c r="C186" s="23" t="s">
        <v>28</v>
      </c>
      <c r="D186" s="24">
        <v>8</v>
      </c>
      <c r="E186" s="23">
        <v>3</v>
      </c>
      <c r="F186" s="25">
        <v>3000</v>
      </c>
      <c r="G186" s="25">
        <f t="shared" si="93"/>
        <v>72000</v>
      </c>
      <c r="H186" s="544">
        <f t="shared" si="94"/>
        <v>122.06700122067001</v>
      </c>
      <c r="I186" s="642">
        <f t="shared" si="95"/>
        <v>2160</v>
      </c>
      <c r="J186" s="642">
        <f t="shared" si="98"/>
        <v>2800</v>
      </c>
      <c r="K186" s="642">
        <f t="shared" si="96"/>
        <v>9000</v>
      </c>
      <c r="L186" s="12"/>
      <c r="M186" s="12"/>
      <c r="N186" s="12"/>
      <c r="O186" s="12"/>
    </row>
    <row r="187" spans="1:15" ht="16.5" thickBot="1" x14ac:dyDescent="0.3">
      <c r="A187" s="22">
        <v>12</v>
      </c>
      <c r="B187" s="26" t="s">
        <v>332</v>
      </c>
      <c r="C187" s="23" t="s">
        <v>28</v>
      </c>
      <c r="D187" s="24">
        <v>10</v>
      </c>
      <c r="E187" s="23">
        <v>3</v>
      </c>
      <c r="F187" s="25">
        <v>3000</v>
      </c>
      <c r="G187" s="25">
        <f t="shared" si="93"/>
        <v>90000</v>
      </c>
      <c r="H187" s="544">
        <f t="shared" si="94"/>
        <v>152.5837515258375</v>
      </c>
      <c r="I187" s="642">
        <f t="shared" si="95"/>
        <v>2700</v>
      </c>
      <c r="J187" s="642">
        <f>350*D187</f>
        <v>3500</v>
      </c>
      <c r="K187" s="642">
        <f t="shared" si="96"/>
        <v>9000</v>
      </c>
      <c r="L187" s="12"/>
      <c r="M187" s="12"/>
      <c r="N187" s="12"/>
      <c r="O187" s="12"/>
    </row>
    <row r="188" spans="1:15" ht="16.5" thickBot="1" x14ac:dyDescent="0.3">
      <c r="A188" s="22">
        <v>13</v>
      </c>
      <c r="B188" s="26" t="s">
        <v>333</v>
      </c>
      <c r="C188" s="23" t="s">
        <v>28</v>
      </c>
      <c r="D188" s="24">
        <v>4</v>
      </c>
      <c r="E188" s="23">
        <v>3</v>
      </c>
      <c r="F188" s="25">
        <v>3000</v>
      </c>
      <c r="G188" s="25">
        <f t="shared" si="93"/>
        <v>36000</v>
      </c>
      <c r="H188" s="544">
        <f t="shared" si="94"/>
        <v>61.033500610335004</v>
      </c>
      <c r="I188" s="642">
        <f t="shared" si="95"/>
        <v>1080</v>
      </c>
      <c r="J188" s="642">
        <f t="shared" si="98"/>
        <v>1400</v>
      </c>
      <c r="K188" s="642">
        <f t="shared" si="96"/>
        <v>9000</v>
      </c>
      <c r="L188" s="12"/>
      <c r="M188" s="12"/>
      <c r="N188" s="12"/>
      <c r="O188" s="12"/>
    </row>
    <row r="189" spans="1:15" ht="16.5" thickBot="1" x14ac:dyDescent="0.3">
      <c r="A189" s="22">
        <v>14</v>
      </c>
      <c r="B189" s="26" t="s">
        <v>334</v>
      </c>
      <c r="C189" s="23" t="s">
        <v>28</v>
      </c>
      <c r="D189" s="24">
        <v>16</v>
      </c>
      <c r="E189" s="23">
        <v>3</v>
      </c>
      <c r="F189" s="25">
        <v>3000</v>
      </c>
      <c r="G189" s="25">
        <f t="shared" si="93"/>
        <v>144000</v>
      </c>
      <c r="H189" s="544">
        <f t="shared" si="94"/>
        <v>244.13400244134002</v>
      </c>
      <c r="I189" s="642">
        <f t="shared" si="95"/>
        <v>4320</v>
      </c>
      <c r="J189" s="642">
        <f t="shared" si="98"/>
        <v>5600</v>
      </c>
      <c r="K189" s="642">
        <f t="shared" si="96"/>
        <v>9000</v>
      </c>
      <c r="L189" s="12"/>
      <c r="M189" s="12"/>
      <c r="N189" s="12"/>
      <c r="O189" s="12"/>
    </row>
    <row r="190" spans="1:15" ht="16.5" thickBot="1" x14ac:dyDescent="0.3">
      <c r="A190" s="22">
        <v>15</v>
      </c>
      <c r="B190" s="26" t="s">
        <v>43</v>
      </c>
      <c r="C190" s="23" t="s">
        <v>28</v>
      </c>
      <c r="D190" s="24">
        <v>14</v>
      </c>
      <c r="E190" s="23">
        <v>3</v>
      </c>
      <c r="F190" s="25">
        <v>3000</v>
      </c>
      <c r="G190" s="25">
        <f t="shared" si="93"/>
        <v>126000</v>
      </c>
      <c r="H190" s="544">
        <f t="shared" si="94"/>
        <v>213.61725213617251</v>
      </c>
      <c r="I190" s="642">
        <f t="shared" si="95"/>
        <v>3780</v>
      </c>
      <c r="J190" s="642">
        <f t="shared" si="98"/>
        <v>4900</v>
      </c>
      <c r="K190" s="642">
        <f t="shared" si="96"/>
        <v>9000</v>
      </c>
      <c r="L190" s="12"/>
      <c r="M190" s="12"/>
      <c r="N190" s="12"/>
      <c r="O190" s="12"/>
    </row>
    <row r="191" spans="1:15" ht="16.5" thickBot="1" x14ac:dyDescent="0.3">
      <c r="A191" s="22">
        <v>16</v>
      </c>
      <c r="B191" s="26" t="s">
        <v>757</v>
      </c>
      <c r="C191" s="23" t="s">
        <v>28</v>
      </c>
      <c r="D191" s="24">
        <v>14</v>
      </c>
      <c r="E191" s="23">
        <v>3</v>
      </c>
      <c r="F191" s="25">
        <v>2000</v>
      </c>
      <c r="G191" s="25">
        <f t="shared" si="93"/>
        <v>84000</v>
      </c>
      <c r="H191" s="544">
        <f t="shared" si="94"/>
        <v>142.41150142411502</v>
      </c>
      <c r="I191" s="642">
        <f t="shared" si="95"/>
        <v>2520</v>
      </c>
      <c r="J191" s="642">
        <f>350*D191</f>
        <v>4900</v>
      </c>
      <c r="K191" s="642">
        <f t="shared" si="96"/>
        <v>6000</v>
      </c>
      <c r="L191" s="12"/>
      <c r="M191" s="12"/>
      <c r="N191" s="12"/>
      <c r="O191" s="12"/>
    </row>
    <row r="192" spans="1:15" ht="18.75" thickBot="1" x14ac:dyDescent="0.3">
      <c r="A192" s="22">
        <v>17</v>
      </c>
      <c r="B192" s="26" t="s">
        <v>44</v>
      </c>
      <c r="C192" s="23" t="s">
        <v>28</v>
      </c>
      <c r="D192" s="24">
        <f>SUM(D176:D191)</f>
        <v>204</v>
      </c>
      <c r="E192" s="23">
        <v>3</v>
      </c>
      <c r="F192" s="25">
        <v>3000</v>
      </c>
      <c r="G192" s="25">
        <f t="shared" si="93"/>
        <v>1836000</v>
      </c>
      <c r="H192" s="544">
        <f t="shared" si="94"/>
        <v>3112.7085311270853</v>
      </c>
      <c r="I192" s="263">
        <f>SUM(I176:I191)</f>
        <v>53820</v>
      </c>
      <c r="J192" s="263">
        <f>SUM(J176:J191)</f>
        <v>71400</v>
      </c>
      <c r="K192" s="12"/>
      <c r="L192" s="12"/>
      <c r="M192" s="12"/>
      <c r="N192" s="12"/>
      <c r="O192" s="12"/>
    </row>
    <row r="193" spans="1:15" ht="16.5" thickBot="1" x14ac:dyDescent="0.3">
      <c r="A193" s="341"/>
      <c r="B193" s="342" t="s">
        <v>1422</v>
      </c>
      <c r="C193" s="343"/>
      <c r="D193" s="343"/>
      <c r="E193" s="343"/>
      <c r="F193" s="344"/>
      <c r="G193" s="344">
        <f>SUM(G176:G192)</f>
        <v>3630000</v>
      </c>
      <c r="H193" s="516">
        <f>SUM(H176:H192)</f>
        <v>6154.2113115421125</v>
      </c>
      <c r="I193" s="11"/>
      <c r="J193" s="12"/>
      <c r="K193" s="12"/>
      <c r="L193" s="12"/>
      <c r="M193" s="12"/>
      <c r="N193" s="12"/>
      <c r="O193" s="12"/>
    </row>
    <row r="194" spans="1:15" ht="18.75" thickBot="1" x14ac:dyDescent="0.3">
      <c r="B194" s="205" t="s">
        <v>402</v>
      </c>
      <c r="C194" s="29"/>
      <c r="D194" s="29"/>
      <c r="E194" s="29"/>
      <c r="F194" s="29"/>
      <c r="G194" s="29"/>
      <c r="H194" s="505"/>
      <c r="I194" s="11"/>
      <c r="J194" s="12"/>
      <c r="K194" s="12"/>
      <c r="L194" s="12"/>
      <c r="M194" s="12"/>
      <c r="N194" s="12"/>
      <c r="O194" s="12"/>
    </row>
    <row r="195" spans="1:15" ht="24" customHeight="1" thickBot="1" x14ac:dyDescent="0.3">
      <c r="A195" s="22">
        <v>1</v>
      </c>
      <c r="B195" s="26" t="s">
        <v>45</v>
      </c>
      <c r="C195" s="23" t="s">
        <v>28</v>
      </c>
      <c r="D195" s="24">
        <v>20</v>
      </c>
      <c r="E195" s="23">
        <v>1</v>
      </c>
      <c r="F195" s="25">
        <v>2500</v>
      </c>
      <c r="G195" s="25">
        <f t="shared" ref="G195:G210" si="99">D195*E195*F195</f>
        <v>50000</v>
      </c>
      <c r="H195" s="544">
        <f t="shared" ref="H195:H210" si="100">G195/589.84</f>
        <v>84.7687508476875</v>
      </c>
      <c r="I195" s="642">
        <f t="shared" ref="I195:I210" si="101">G195*0.03</f>
        <v>1500</v>
      </c>
      <c r="J195" s="642">
        <f>125*D195</f>
        <v>2500</v>
      </c>
      <c r="K195" s="642">
        <f t="shared" ref="K195:K210" si="102">G195/D195</f>
        <v>2500</v>
      </c>
      <c r="L195" s="12"/>
      <c r="M195" s="12"/>
      <c r="N195" s="12"/>
      <c r="O195" s="12"/>
    </row>
    <row r="196" spans="1:15" ht="24" customHeight="1" thickBot="1" x14ac:dyDescent="0.3">
      <c r="A196" s="22">
        <v>2</v>
      </c>
      <c r="B196" s="26" t="s">
        <v>335</v>
      </c>
      <c r="C196" s="23" t="s">
        <v>28</v>
      </c>
      <c r="D196" s="24">
        <v>10</v>
      </c>
      <c r="E196" s="23">
        <v>1</v>
      </c>
      <c r="F196" s="25">
        <v>2500</v>
      </c>
      <c r="G196" s="25">
        <f t="shared" si="99"/>
        <v>25000</v>
      </c>
      <c r="H196" s="544">
        <f t="shared" si="100"/>
        <v>42.38437542384375</v>
      </c>
      <c r="I196" s="642">
        <f t="shared" si="101"/>
        <v>750</v>
      </c>
      <c r="J196" s="642">
        <f>125*D196</f>
        <v>1250</v>
      </c>
      <c r="K196" s="642">
        <f t="shared" si="102"/>
        <v>2500</v>
      </c>
      <c r="L196" s="12"/>
      <c r="M196" s="12"/>
      <c r="N196" s="12"/>
      <c r="O196" s="12"/>
    </row>
    <row r="197" spans="1:15" ht="24" customHeight="1" thickBot="1" x14ac:dyDescent="0.3">
      <c r="A197" s="22">
        <v>3</v>
      </c>
      <c r="B197" s="26" t="s">
        <v>336</v>
      </c>
      <c r="C197" s="23" t="s">
        <v>28</v>
      </c>
      <c r="D197" s="24">
        <v>5</v>
      </c>
      <c r="E197" s="23">
        <v>1</v>
      </c>
      <c r="F197" s="25">
        <v>2500</v>
      </c>
      <c r="G197" s="25">
        <f t="shared" si="99"/>
        <v>12500</v>
      </c>
      <c r="H197" s="544">
        <f t="shared" si="100"/>
        <v>21.192187711921875</v>
      </c>
      <c r="I197" s="642">
        <f t="shared" si="101"/>
        <v>375</v>
      </c>
      <c r="J197" s="642">
        <f t="shared" ref="J197:J208" si="103">125*D197</f>
        <v>625</v>
      </c>
      <c r="K197" s="642">
        <f t="shared" si="102"/>
        <v>2500</v>
      </c>
      <c r="L197" s="12"/>
      <c r="M197" s="12"/>
      <c r="N197" s="12"/>
      <c r="O197" s="12"/>
    </row>
    <row r="198" spans="1:15" ht="24" customHeight="1" thickBot="1" x14ac:dyDescent="0.3">
      <c r="A198" s="22">
        <v>4</v>
      </c>
      <c r="B198" s="26" t="s">
        <v>337</v>
      </c>
      <c r="C198" s="23" t="s">
        <v>28</v>
      </c>
      <c r="D198" s="24">
        <v>9</v>
      </c>
      <c r="E198" s="23">
        <v>1</v>
      </c>
      <c r="F198" s="25">
        <v>2500</v>
      </c>
      <c r="G198" s="25">
        <f t="shared" si="99"/>
        <v>22500</v>
      </c>
      <c r="H198" s="544">
        <f t="shared" si="100"/>
        <v>38.145937881459375</v>
      </c>
      <c r="I198" s="642">
        <f t="shared" si="101"/>
        <v>675</v>
      </c>
      <c r="J198" s="642">
        <f t="shared" si="103"/>
        <v>1125</v>
      </c>
      <c r="K198" s="642">
        <f t="shared" si="102"/>
        <v>2500</v>
      </c>
      <c r="L198" s="12"/>
      <c r="M198" s="12"/>
      <c r="N198" s="12"/>
      <c r="O198" s="12"/>
    </row>
    <row r="199" spans="1:15" ht="24" customHeight="1" thickBot="1" x14ac:dyDescent="0.3">
      <c r="A199" s="22">
        <v>5</v>
      </c>
      <c r="B199" s="26" t="s">
        <v>338</v>
      </c>
      <c r="C199" s="23" t="s">
        <v>28</v>
      </c>
      <c r="D199" s="24">
        <v>8</v>
      </c>
      <c r="E199" s="23">
        <v>1</v>
      </c>
      <c r="F199" s="25">
        <v>2500</v>
      </c>
      <c r="G199" s="25">
        <f t="shared" si="99"/>
        <v>20000</v>
      </c>
      <c r="H199" s="544">
        <f t="shared" si="100"/>
        <v>33.907500339075</v>
      </c>
      <c r="I199" s="642">
        <f t="shared" si="101"/>
        <v>600</v>
      </c>
      <c r="J199" s="642">
        <f t="shared" si="103"/>
        <v>1000</v>
      </c>
      <c r="K199" s="642">
        <f t="shared" si="102"/>
        <v>2500</v>
      </c>
      <c r="L199" s="12"/>
      <c r="M199" s="12"/>
      <c r="N199" s="12"/>
      <c r="O199" s="12"/>
    </row>
    <row r="200" spans="1:15" ht="24" customHeight="1" thickBot="1" x14ac:dyDescent="0.3">
      <c r="A200" s="22">
        <v>6</v>
      </c>
      <c r="B200" s="26" t="s">
        <v>339</v>
      </c>
      <c r="C200" s="23" t="s">
        <v>28</v>
      </c>
      <c r="D200" s="24">
        <v>4</v>
      </c>
      <c r="E200" s="23">
        <v>1</v>
      </c>
      <c r="F200" s="25">
        <v>2500</v>
      </c>
      <c r="G200" s="25">
        <f t="shared" si="99"/>
        <v>10000</v>
      </c>
      <c r="H200" s="544">
        <f t="shared" si="100"/>
        <v>16.9537501695375</v>
      </c>
      <c r="I200" s="642">
        <f t="shared" si="101"/>
        <v>300</v>
      </c>
      <c r="J200" s="642">
        <f t="shared" si="103"/>
        <v>500</v>
      </c>
      <c r="K200" s="642">
        <f t="shared" si="102"/>
        <v>2500</v>
      </c>
      <c r="L200" s="12"/>
      <c r="M200" s="12"/>
      <c r="N200" s="12"/>
      <c r="O200" s="12"/>
    </row>
    <row r="201" spans="1:15" ht="24" customHeight="1" thickBot="1" x14ac:dyDescent="0.3">
      <c r="A201" s="22">
        <v>7</v>
      </c>
      <c r="B201" s="26" t="s">
        <v>340</v>
      </c>
      <c r="C201" s="23" t="s">
        <v>28</v>
      </c>
      <c r="D201" s="24">
        <v>1</v>
      </c>
      <c r="E201" s="23">
        <v>1</v>
      </c>
      <c r="F201" s="25">
        <v>2500</v>
      </c>
      <c r="G201" s="25">
        <f t="shared" si="99"/>
        <v>2500</v>
      </c>
      <c r="H201" s="544">
        <f t="shared" si="100"/>
        <v>4.238437542384375</v>
      </c>
      <c r="I201" s="642">
        <f t="shared" si="101"/>
        <v>75</v>
      </c>
      <c r="J201" s="642">
        <f t="shared" si="103"/>
        <v>125</v>
      </c>
      <c r="K201" s="642">
        <f t="shared" si="102"/>
        <v>2500</v>
      </c>
      <c r="L201" s="12"/>
      <c r="M201" s="12"/>
      <c r="N201" s="12"/>
      <c r="O201" s="12"/>
    </row>
    <row r="202" spans="1:15" ht="24" customHeight="1" thickBot="1" x14ac:dyDescent="0.3">
      <c r="A202" s="22">
        <v>8</v>
      </c>
      <c r="B202" s="26" t="s">
        <v>341</v>
      </c>
      <c r="C202" s="23" t="s">
        <v>28</v>
      </c>
      <c r="D202" s="24">
        <v>5</v>
      </c>
      <c r="E202" s="23">
        <v>1</v>
      </c>
      <c r="F202" s="25">
        <v>2500</v>
      </c>
      <c r="G202" s="25">
        <f t="shared" si="99"/>
        <v>12500</v>
      </c>
      <c r="H202" s="544">
        <f t="shared" si="100"/>
        <v>21.192187711921875</v>
      </c>
      <c r="I202" s="642">
        <f t="shared" si="101"/>
        <v>375</v>
      </c>
      <c r="J202" s="642">
        <f t="shared" si="103"/>
        <v>625</v>
      </c>
      <c r="K202" s="642">
        <f t="shared" si="102"/>
        <v>2500</v>
      </c>
      <c r="L202" s="12"/>
      <c r="M202" s="12"/>
      <c r="N202" s="12"/>
      <c r="O202" s="12"/>
    </row>
    <row r="203" spans="1:15" ht="24" customHeight="1" thickBot="1" x14ac:dyDescent="0.3">
      <c r="A203" s="22">
        <v>9</v>
      </c>
      <c r="B203" s="26" t="s">
        <v>342</v>
      </c>
      <c r="C203" s="23" t="s">
        <v>28</v>
      </c>
      <c r="D203" s="24">
        <v>3</v>
      </c>
      <c r="E203" s="23">
        <v>1</v>
      </c>
      <c r="F203" s="25">
        <v>2500</v>
      </c>
      <c r="G203" s="25">
        <f t="shared" si="99"/>
        <v>7500</v>
      </c>
      <c r="H203" s="544">
        <f t="shared" si="100"/>
        <v>12.715312627153125</v>
      </c>
      <c r="I203" s="642">
        <f t="shared" si="101"/>
        <v>225</v>
      </c>
      <c r="J203" s="642">
        <f t="shared" si="103"/>
        <v>375</v>
      </c>
      <c r="K203" s="642">
        <f t="shared" si="102"/>
        <v>2500</v>
      </c>
      <c r="L203" s="12"/>
      <c r="M203" s="12"/>
      <c r="N203" s="12"/>
      <c r="O203" s="12"/>
    </row>
    <row r="204" spans="1:15" ht="24" customHeight="1" thickBot="1" x14ac:dyDescent="0.3">
      <c r="A204" s="22">
        <v>10</v>
      </c>
      <c r="B204" s="26" t="s">
        <v>343</v>
      </c>
      <c r="C204" s="23" t="s">
        <v>28</v>
      </c>
      <c r="D204" s="24">
        <v>4</v>
      </c>
      <c r="E204" s="23">
        <v>1</v>
      </c>
      <c r="F204" s="25">
        <v>2500</v>
      </c>
      <c r="G204" s="25">
        <f t="shared" si="99"/>
        <v>10000</v>
      </c>
      <c r="H204" s="544">
        <f t="shared" si="100"/>
        <v>16.9537501695375</v>
      </c>
      <c r="I204" s="642">
        <f t="shared" si="101"/>
        <v>300</v>
      </c>
      <c r="J204" s="642">
        <f t="shared" si="103"/>
        <v>500</v>
      </c>
      <c r="K204" s="642">
        <f t="shared" si="102"/>
        <v>2500</v>
      </c>
      <c r="L204" s="12"/>
      <c r="M204" s="12"/>
      <c r="N204" s="12"/>
      <c r="O204" s="12"/>
    </row>
    <row r="205" spans="1:15" ht="24" customHeight="1" thickBot="1" x14ac:dyDescent="0.3">
      <c r="A205" s="22">
        <v>11</v>
      </c>
      <c r="B205" s="26" t="s">
        <v>344</v>
      </c>
      <c r="C205" s="23" t="s">
        <v>28</v>
      </c>
      <c r="D205" s="24">
        <v>4</v>
      </c>
      <c r="E205" s="23">
        <v>1</v>
      </c>
      <c r="F205" s="25">
        <v>2500</v>
      </c>
      <c r="G205" s="25">
        <f t="shared" si="99"/>
        <v>10000</v>
      </c>
      <c r="H205" s="544">
        <f t="shared" si="100"/>
        <v>16.9537501695375</v>
      </c>
      <c r="I205" s="642">
        <f t="shared" si="101"/>
        <v>300</v>
      </c>
      <c r="J205" s="642">
        <f t="shared" si="103"/>
        <v>500</v>
      </c>
      <c r="K205" s="642">
        <f t="shared" si="102"/>
        <v>2500</v>
      </c>
      <c r="L205" s="12"/>
      <c r="M205" s="12"/>
      <c r="N205" s="12"/>
      <c r="O205" s="12"/>
    </row>
    <row r="206" spans="1:15" ht="24" customHeight="1" thickBot="1" x14ac:dyDescent="0.3">
      <c r="A206" s="22">
        <v>12</v>
      </c>
      <c r="B206" s="26" t="s">
        <v>345</v>
      </c>
      <c r="C206" s="23" t="s">
        <v>28</v>
      </c>
      <c r="D206" s="24">
        <v>5</v>
      </c>
      <c r="E206" s="23">
        <v>1</v>
      </c>
      <c r="F206" s="25">
        <v>2500</v>
      </c>
      <c r="G206" s="25">
        <f t="shared" si="99"/>
        <v>12500</v>
      </c>
      <c r="H206" s="544">
        <f t="shared" si="100"/>
        <v>21.192187711921875</v>
      </c>
      <c r="I206" s="642">
        <f t="shared" si="101"/>
        <v>375</v>
      </c>
      <c r="J206" s="642">
        <f t="shared" si="103"/>
        <v>625</v>
      </c>
      <c r="K206" s="642">
        <f t="shared" si="102"/>
        <v>2500</v>
      </c>
      <c r="L206" s="12"/>
      <c r="M206" s="12"/>
      <c r="N206" s="12"/>
      <c r="O206" s="12"/>
    </row>
    <row r="207" spans="1:15" ht="24" customHeight="1" thickBot="1" x14ac:dyDescent="0.3">
      <c r="A207" s="22">
        <v>13</v>
      </c>
      <c r="B207" s="26" t="s">
        <v>346</v>
      </c>
      <c r="C207" s="23" t="s">
        <v>28</v>
      </c>
      <c r="D207" s="24">
        <v>2</v>
      </c>
      <c r="E207" s="23">
        <v>1</v>
      </c>
      <c r="F207" s="25">
        <v>2500</v>
      </c>
      <c r="G207" s="25">
        <f t="shared" si="99"/>
        <v>5000</v>
      </c>
      <c r="H207" s="544">
        <f t="shared" si="100"/>
        <v>8.47687508476875</v>
      </c>
      <c r="I207" s="642">
        <f t="shared" si="101"/>
        <v>150</v>
      </c>
      <c r="J207" s="642">
        <f t="shared" si="103"/>
        <v>250</v>
      </c>
      <c r="K207" s="642">
        <f t="shared" si="102"/>
        <v>2500</v>
      </c>
      <c r="L207" s="12"/>
      <c r="M207" s="12"/>
      <c r="N207" s="12"/>
      <c r="O207" s="12"/>
    </row>
    <row r="208" spans="1:15" ht="24" customHeight="1" thickBot="1" x14ac:dyDescent="0.3">
      <c r="A208" s="22">
        <v>14</v>
      </c>
      <c r="B208" s="26" t="s">
        <v>347</v>
      </c>
      <c r="C208" s="23" t="s">
        <v>28</v>
      </c>
      <c r="D208" s="24">
        <v>8</v>
      </c>
      <c r="E208" s="23">
        <v>1</v>
      </c>
      <c r="F208" s="25">
        <v>2500</v>
      </c>
      <c r="G208" s="25">
        <f t="shared" si="99"/>
        <v>20000</v>
      </c>
      <c r="H208" s="544">
        <f t="shared" si="100"/>
        <v>33.907500339075</v>
      </c>
      <c r="I208" s="642">
        <f t="shared" si="101"/>
        <v>600</v>
      </c>
      <c r="J208" s="642">
        <f t="shared" si="103"/>
        <v>1000</v>
      </c>
      <c r="K208" s="642">
        <f t="shared" si="102"/>
        <v>2500</v>
      </c>
      <c r="L208" s="12"/>
      <c r="M208" s="12"/>
      <c r="N208" s="12"/>
      <c r="O208" s="12"/>
    </row>
    <row r="209" spans="1:15" ht="24" customHeight="1" thickBot="1" x14ac:dyDescent="0.3">
      <c r="A209" s="22">
        <v>15</v>
      </c>
      <c r="B209" s="26" t="s">
        <v>43</v>
      </c>
      <c r="C209" s="23" t="s">
        <v>28</v>
      </c>
      <c r="D209" s="24">
        <v>14</v>
      </c>
      <c r="E209" s="23">
        <v>1</v>
      </c>
      <c r="F209" s="25">
        <v>3000</v>
      </c>
      <c r="G209" s="25">
        <f t="shared" si="99"/>
        <v>42000</v>
      </c>
      <c r="H209" s="544">
        <f t="shared" si="100"/>
        <v>71.205750712057508</v>
      </c>
      <c r="I209" s="642">
        <f t="shared" si="101"/>
        <v>1260</v>
      </c>
      <c r="J209" s="642">
        <f>125*D209</f>
        <v>1750</v>
      </c>
      <c r="K209" s="642">
        <f t="shared" si="102"/>
        <v>3000</v>
      </c>
      <c r="L209" s="12"/>
      <c r="M209" s="12"/>
      <c r="N209" s="12"/>
      <c r="O209" s="12"/>
    </row>
    <row r="210" spans="1:15" ht="24" customHeight="1" thickBot="1" x14ac:dyDescent="0.3">
      <c r="A210" s="22">
        <v>16</v>
      </c>
      <c r="B210" s="26" t="s">
        <v>48</v>
      </c>
      <c r="C210" s="23" t="s">
        <v>28</v>
      </c>
      <c r="D210" s="24">
        <f>SUM(D195:D209)</f>
        <v>102</v>
      </c>
      <c r="E210" s="23">
        <v>1</v>
      </c>
      <c r="F210" s="25">
        <v>3000</v>
      </c>
      <c r="G210" s="25">
        <f t="shared" si="99"/>
        <v>306000</v>
      </c>
      <c r="H210" s="544">
        <f t="shared" si="100"/>
        <v>518.78475518784751</v>
      </c>
      <c r="I210" s="642">
        <f t="shared" si="101"/>
        <v>9180</v>
      </c>
      <c r="J210" s="642">
        <f>125*D210</f>
        <v>12750</v>
      </c>
      <c r="K210" s="642">
        <f t="shared" si="102"/>
        <v>3000</v>
      </c>
      <c r="L210" s="12"/>
      <c r="M210" s="12"/>
      <c r="N210" s="12"/>
      <c r="O210" s="12"/>
    </row>
    <row r="211" spans="1:15" ht="21" customHeight="1" thickBot="1" x14ac:dyDescent="0.3">
      <c r="A211" s="341"/>
      <c r="B211" s="342" t="s">
        <v>1422</v>
      </c>
      <c r="C211" s="343"/>
      <c r="D211" s="343"/>
      <c r="E211" s="343"/>
      <c r="F211" s="344"/>
      <c r="G211" s="344">
        <f>SUM(G195:G210)</f>
        <v>568000</v>
      </c>
      <c r="H211" s="516">
        <f>SUM(H195:H210)</f>
        <v>962.97300962973009</v>
      </c>
      <c r="I211" s="263">
        <f>SUM(I195:I210)</f>
        <v>17040</v>
      </c>
      <c r="J211" s="263">
        <f>SUM(J195:J210)</f>
        <v>25500</v>
      </c>
      <c r="K211" s="12"/>
      <c r="L211" s="12"/>
      <c r="M211" s="12"/>
      <c r="N211" s="12"/>
      <c r="O211" s="12"/>
    </row>
    <row r="212" spans="1:15" ht="32.25" thickBot="1" x14ac:dyDescent="0.3">
      <c r="A212" s="22"/>
      <c r="B212" s="422" t="s">
        <v>403</v>
      </c>
      <c r="C212" s="397"/>
      <c r="D212" s="397"/>
      <c r="E212" s="397"/>
      <c r="F212" s="397"/>
      <c r="G212" s="245"/>
      <c r="H212" s="605"/>
      <c r="I212" s="11"/>
      <c r="J212" s="12"/>
      <c r="K212" s="12"/>
      <c r="L212" s="12"/>
      <c r="M212" s="12"/>
      <c r="N212" s="12"/>
      <c r="O212" s="12"/>
    </row>
    <row r="213" spans="1:15" ht="21" customHeight="1" thickBot="1" x14ac:dyDescent="0.3">
      <c r="A213" s="22">
        <v>1</v>
      </c>
      <c r="B213" s="26" t="s">
        <v>404</v>
      </c>
      <c r="C213" s="19" t="s">
        <v>28</v>
      </c>
      <c r="D213" s="20">
        <v>1</v>
      </c>
      <c r="E213" s="19">
        <v>1</v>
      </c>
      <c r="F213" s="28">
        <v>5000</v>
      </c>
      <c r="G213" s="25">
        <f t="shared" ref="G213:G236" si="104">D213*E213*F213</f>
        <v>5000</v>
      </c>
      <c r="H213" s="544">
        <f t="shared" ref="H213:H236" si="105">G213/589.84</f>
        <v>8.47687508476875</v>
      </c>
      <c r="I213" s="642">
        <f t="shared" ref="I213:I234" si="106">G213*0.03</f>
        <v>150</v>
      </c>
      <c r="J213" s="642">
        <f>350*D213</f>
        <v>350</v>
      </c>
      <c r="K213" s="642">
        <f t="shared" ref="K213:K234" si="107">G213/D213</f>
        <v>5000</v>
      </c>
      <c r="L213" s="12"/>
      <c r="M213" s="12"/>
      <c r="N213" s="12"/>
      <c r="O213" s="12"/>
    </row>
    <row r="214" spans="1:15" ht="21" customHeight="1" thickBot="1" x14ac:dyDescent="0.3">
      <c r="A214" s="22">
        <v>2</v>
      </c>
      <c r="B214" s="26" t="s">
        <v>411</v>
      </c>
      <c r="C214" s="19" t="s">
        <v>28</v>
      </c>
      <c r="D214" s="20">
        <v>1</v>
      </c>
      <c r="E214" s="19">
        <v>1</v>
      </c>
      <c r="F214" s="28">
        <v>8000</v>
      </c>
      <c r="G214" s="25">
        <f t="shared" si="104"/>
        <v>8000</v>
      </c>
      <c r="H214" s="544">
        <f t="shared" si="105"/>
        <v>13.56300013563</v>
      </c>
      <c r="I214" s="642">
        <f t="shared" si="106"/>
        <v>240</v>
      </c>
      <c r="J214" s="642">
        <f t="shared" ref="J214:J227" si="108">350*D214</f>
        <v>350</v>
      </c>
      <c r="K214" s="642">
        <f t="shared" si="107"/>
        <v>8000</v>
      </c>
      <c r="L214" s="12"/>
      <c r="M214" s="12"/>
      <c r="N214" s="12"/>
      <c r="O214" s="12"/>
    </row>
    <row r="215" spans="1:15" ht="21" customHeight="1" thickBot="1" x14ac:dyDescent="0.3">
      <c r="A215" s="22">
        <v>3</v>
      </c>
      <c r="B215" s="26" t="s">
        <v>412</v>
      </c>
      <c r="C215" s="19" t="s">
        <v>28</v>
      </c>
      <c r="D215" s="20">
        <v>1</v>
      </c>
      <c r="E215" s="19">
        <v>1</v>
      </c>
      <c r="F215" s="28">
        <v>8000</v>
      </c>
      <c r="G215" s="25">
        <f t="shared" si="104"/>
        <v>8000</v>
      </c>
      <c r="H215" s="544">
        <f t="shared" si="105"/>
        <v>13.56300013563</v>
      </c>
      <c r="I215" s="642">
        <f t="shared" si="106"/>
        <v>240</v>
      </c>
      <c r="J215" s="642">
        <f t="shared" si="108"/>
        <v>350</v>
      </c>
      <c r="K215" s="642">
        <f t="shared" si="107"/>
        <v>8000</v>
      </c>
      <c r="L215" s="12"/>
      <c r="M215" s="12"/>
      <c r="N215" s="12"/>
      <c r="O215" s="12"/>
    </row>
    <row r="216" spans="1:15" ht="21" customHeight="1" thickBot="1" x14ac:dyDescent="0.3">
      <c r="A216" s="22">
        <v>4</v>
      </c>
      <c r="B216" s="26" t="s">
        <v>413</v>
      </c>
      <c r="C216" s="19" t="s">
        <v>28</v>
      </c>
      <c r="D216" s="20">
        <v>1</v>
      </c>
      <c r="E216" s="19">
        <v>1</v>
      </c>
      <c r="F216" s="28">
        <v>8000</v>
      </c>
      <c r="G216" s="25">
        <f t="shared" si="104"/>
        <v>8000</v>
      </c>
      <c r="H216" s="544">
        <f t="shared" si="105"/>
        <v>13.56300013563</v>
      </c>
      <c r="I216" s="642">
        <f t="shared" si="106"/>
        <v>240</v>
      </c>
      <c r="J216" s="642">
        <f t="shared" si="108"/>
        <v>350</v>
      </c>
      <c r="K216" s="642">
        <f t="shared" si="107"/>
        <v>8000</v>
      </c>
      <c r="L216" s="12"/>
      <c r="M216" s="12"/>
      <c r="N216" s="12"/>
      <c r="O216" s="12"/>
    </row>
    <row r="217" spans="1:15" ht="21" customHeight="1" thickBot="1" x14ac:dyDescent="0.3">
      <c r="A217" s="22">
        <v>5</v>
      </c>
      <c r="B217" s="26" t="s">
        <v>414</v>
      </c>
      <c r="C217" s="19" t="s">
        <v>28</v>
      </c>
      <c r="D217" s="20">
        <v>1</v>
      </c>
      <c r="E217" s="19">
        <v>1</v>
      </c>
      <c r="F217" s="28">
        <v>8000</v>
      </c>
      <c r="G217" s="25">
        <f t="shared" si="104"/>
        <v>8000</v>
      </c>
      <c r="H217" s="544">
        <f t="shared" si="105"/>
        <v>13.56300013563</v>
      </c>
      <c r="I217" s="642">
        <f t="shared" si="106"/>
        <v>240</v>
      </c>
      <c r="J217" s="642">
        <f t="shared" si="108"/>
        <v>350</v>
      </c>
      <c r="K217" s="642">
        <f t="shared" si="107"/>
        <v>8000</v>
      </c>
      <c r="L217" s="12"/>
      <c r="M217" s="12"/>
      <c r="N217" s="12"/>
      <c r="O217" s="12"/>
    </row>
    <row r="218" spans="1:15" ht="21" customHeight="1" thickBot="1" x14ac:dyDescent="0.3">
      <c r="A218" s="22">
        <v>6</v>
      </c>
      <c r="B218" s="26" t="s">
        <v>415</v>
      </c>
      <c r="C218" s="19" t="s">
        <v>28</v>
      </c>
      <c r="D218" s="20">
        <v>1</v>
      </c>
      <c r="E218" s="19">
        <v>1</v>
      </c>
      <c r="F218" s="28">
        <v>8000</v>
      </c>
      <c r="G218" s="25">
        <f t="shared" si="104"/>
        <v>8000</v>
      </c>
      <c r="H218" s="544">
        <f t="shared" si="105"/>
        <v>13.56300013563</v>
      </c>
      <c r="I218" s="642">
        <f t="shared" si="106"/>
        <v>240</v>
      </c>
      <c r="J218" s="642">
        <f t="shared" si="108"/>
        <v>350</v>
      </c>
      <c r="K218" s="642">
        <f t="shared" si="107"/>
        <v>8000</v>
      </c>
      <c r="L218" s="12"/>
      <c r="M218" s="12"/>
      <c r="N218" s="12"/>
      <c r="O218" s="12"/>
    </row>
    <row r="219" spans="1:15" ht="21" customHeight="1" thickBot="1" x14ac:dyDescent="0.3">
      <c r="A219" s="22">
        <v>7</v>
      </c>
      <c r="B219" s="26" t="s">
        <v>416</v>
      </c>
      <c r="C219" s="19" t="s">
        <v>28</v>
      </c>
      <c r="D219" s="20">
        <v>1</v>
      </c>
      <c r="E219" s="19">
        <v>1</v>
      </c>
      <c r="F219" s="28">
        <v>8000</v>
      </c>
      <c r="G219" s="25">
        <f t="shared" si="104"/>
        <v>8000</v>
      </c>
      <c r="H219" s="544">
        <f t="shared" si="105"/>
        <v>13.56300013563</v>
      </c>
      <c r="I219" s="642">
        <f t="shared" si="106"/>
        <v>240</v>
      </c>
      <c r="J219" s="642">
        <f t="shared" si="108"/>
        <v>350</v>
      </c>
      <c r="K219" s="642">
        <f t="shared" si="107"/>
        <v>8000</v>
      </c>
      <c r="L219" s="12"/>
      <c r="M219" s="12"/>
      <c r="N219" s="12"/>
      <c r="O219" s="12"/>
    </row>
    <row r="220" spans="1:15" ht="21" customHeight="1" thickBot="1" x14ac:dyDescent="0.3">
      <c r="A220" s="22">
        <v>8</v>
      </c>
      <c r="B220" s="26" t="s">
        <v>405</v>
      </c>
      <c r="C220" s="19" t="s">
        <v>28</v>
      </c>
      <c r="D220" s="20">
        <v>1</v>
      </c>
      <c r="E220" s="19">
        <v>1</v>
      </c>
      <c r="F220" s="28">
        <v>8000</v>
      </c>
      <c r="G220" s="25">
        <f t="shared" si="104"/>
        <v>8000</v>
      </c>
      <c r="H220" s="544">
        <f t="shared" si="105"/>
        <v>13.56300013563</v>
      </c>
      <c r="I220" s="642">
        <f t="shared" si="106"/>
        <v>240</v>
      </c>
      <c r="J220" s="642">
        <f t="shared" si="108"/>
        <v>350</v>
      </c>
      <c r="K220" s="642">
        <f t="shared" si="107"/>
        <v>8000</v>
      </c>
      <c r="L220" s="12"/>
      <c r="M220" s="12"/>
      <c r="N220" s="12"/>
      <c r="O220" s="12"/>
    </row>
    <row r="221" spans="1:15" ht="21" customHeight="1" thickBot="1" x14ac:dyDescent="0.3">
      <c r="A221" s="22">
        <v>9</v>
      </c>
      <c r="B221" s="26" t="s">
        <v>417</v>
      </c>
      <c r="C221" s="19" t="s">
        <v>28</v>
      </c>
      <c r="D221" s="20">
        <v>1</v>
      </c>
      <c r="E221" s="19">
        <v>1</v>
      </c>
      <c r="F221" s="28">
        <v>8000</v>
      </c>
      <c r="G221" s="25">
        <f t="shared" si="104"/>
        <v>8000</v>
      </c>
      <c r="H221" s="544">
        <f t="shared" si="105"/>
        <v>13.56300013563</v>
      </c>
      <c r="I221" s="642">
        <f t="shared" si="106"/>
        <v>240</v>
      </c>
      <c r="J221" s="642">
        <f t="shared" si="108"/>
        <v>350</v>
      </c>
      <c r="K221" s="642">
        <f t="shared" si="107"/>
        <v>8000</v>
      </c>
      <c r="L221" s="12"/>
      <c r="M221" s="12"/>
      <c r="N221" s="12"/>
      <c r="O221" s="12"/>
    </row>
    <row r="222" spans="1:15" ht="21" customHeight="1" thickBot="1" x14ac:dyDescent="0.3">
      <c r="A222" s="22">
        <v>10</v>
      </c>
      <c r="B222" s="26" t="s">
        <v>418</v>
      </c>
      <c r="C222" s="19" t="s">
        <v>28</v>
      </c>
      <c r="D222" s="20">
        <v>1</v>
      </c>
      <c r="E222" s="19">
        <v>1</v>
      </c>
      <c r="F222" s="28">
        <v>8000</v>
      </c>
      <c r="G222" s="25">
        <f t="shared" si="104"/>
        <v>8000</v>
      </c>
      <c r="H222" s="544">
        <f t="shared" si="105"/>
        <v>13.56300013563</v>
      </c>
      <c r="I222" s="642">
        <f t="shared" si="106"/>
        <v>240</v>
      </c>
      <c r="J222" s="642">
        <f t="shared" si="108"/>
        <v>350</v>
      </c>
      <c r="K222" s="642">
        <f t="shared" si="107"/>
        <v>8000</v>
      </c>
      <c r="L222" s="12"/>
      <c r="M222" s="12"/>
      <c r="N222" s="12"/>
      <c r="O222" s="12"/>
    </row>
    <row r="223" spans="1:15" ht="21" customHeight="1" thickBot="1" x14ac:dyDescent="0.3">
      <c r="A223" s="22">
        <v>11</v>
      </c>
      <c r="B223" s="26" t="s">
        <v>419</v>
      </c>
      <c r="C223" s="19" t="s">
        <v>28</v>
      </c>
      <c r="D223" s="20">
        <v>1</v>
      </c>
      <c r="E223" s="19">
        <v>1</v>
      </c>
      <c r="F223" s="28">
        <v>8000</v>
      </c>
      <c r="G223" s="25">
        <f t="shared" si="104"/>
        <v>8000</v>
      </c>
      <c r="H223" s="544">
        <f t="shared" si="105"/>
        <v>13.56300013563</v>
      </c>
      <c r="I223" s="642">
        <f t="shared" si="106"/>
        <v>240</v>
      </c>
      <c r="J223" s="642">
        <f t="shared" si="108"/>
        <v>350</v>
      </c>
      <c r="K223" s="642">
        <f t="shared" si="107"/>
        <v>8000</v>
      </c>
      <c r="L223" s="12"/>
      <c r="M223" s="12"/>
      <c r="N223" s="12"/>
      <c r="O223" s="12"/>
    </row>
    <row r="224" spans="1:15" ht="21" customHeight="1" thickBot="1" x14ac:dyDescent="0.3">
      <c r="A224" s="22">
        <v>12</v>
      </c>
      <c r="B224" s="26" t="s">
        <v>420</v>
      </c>
      <c r="C224" s="19" t="s">
        <v>28</v>
      </c>
      <c r="D224" s="20">
        <v>1</v>
      </c>
      <c r="E224" s="19">
        <v>1</v>
      </c>
      <c r="F224" s="28">
        <v>8000</v>
      </c>
      <c r="G224" s="25">
        <f t="shared" si="104"/>
        <v>8000</v>
      </c>
      <c r="H224" s="544">
        <f t="shared" si="105"/>
        <v>13.56300013563</v>
      </c>
      <c r="I224" s="642">
        <f t="shared" si="106"/>
        <v>240</v>
      </c>
      <c r="J224" s="642">
        <f t="shared" si="108"/>
        <v>350</v>
      </c>
      <c r="K224" s="642">
        <f t="shared" si="107"/>
        <v>8000</v>
      </c>
      <c r="L224" s="12"/>
      <c r="M224" s="12"/>
      <c r="N224" s="12"/>
      <c r="O224" s="12"/>
    </row>
    <row r="225" spans="1:15" ht="21" customHeight="1" thickBot="1" x14ac:dyDescent="0.3">
      <c r="A225" s="22">
        <v>13</v>
      </c>
      <c r="B225" s="26" t="s">
        <v>421</v>
      </c>
      <c r="C225" s="19" t="s">
        <v>28</v>
      </c>
      <c r="D225" s="20">
        <v>1</v>
      </c>
      <c r="E225" s="19">
        <v>1</v>
      </c>
      <c r="F225" s="28">
        <v>8000</v>
      </c>
      <c r="G225" s="25">
        <f t="shared" si="104"/>
        <v>8000</v>
      </c>
      <c r="H225" s="544">
        <f t="shared" si="105"/>
        <v>13.56300013563</v>
      </c>
      <c r="I225" s="642">
        <f t="shared" si="106"/>
        <v>240</v>
      </c>
      <c r="J225" s="642">
        <f t="shared" si="108"/>
        <v>350</v>
      </c>
      <c r="K225" s="642">
        <f t="shared" si="107"/>
        <v>8000</v>
      </c>
      <c r="L225" s="12"/>
      <c r="M225" s="12"/>
      <c r="N225" s="12"/>
      <c r="O225" s="12"/>
    </row>
    <row r="226" spans="1:15" ht="21" customHeight="1" thickBot="1" x14ac:dyDescent="0.3">
      <c r="A226" s="22">
        <v>14</v>
      </c>
      <c r="B226" s="26" t="s">
        <v>422</v>
      </c>
      <c r="C226" s="19" t="s">
        <v>28</v>
      </c>
      <c r="D226" s="20">
        <v>1</v>
      </c>
      <c r="E226" s="19">
        <v>1</v>
      </c>
      <c r="F226" s="28">
        <v>8000</v>
      </c>
      <c r="G226" s="25">
        <f t="shared" si="104"/>
        <v>8000</v>
      </c>
      <c r="H226" s="544">
        <f t="shared" si="105"/>
        <v>13.56300013563</v>
      </c>
      <c r="I226" s="642">
        <f t="shared" si="106"/>
        <v>240</v>
      </c>
      <c r="J226" s="642">
        <f t="shared" si="108"/>
        <v>350</v>
      </c>
      <c r="K226" s="642">
        <f t="shared" si="107"/>
        <v>8000</v>
      </c>
      <c r="L226" s="12"/>
      <c r="M226" s="12"/>
      <c r="N226" s="12"/>
      <c r="O226" s="12"/>
    </row>
    <row r="227" spans="1:15" ht="21" customHeight="1" thickBot="1" x14ac:dyDescent="0.3">
      <c r="A227" s="22">
        <v>15</v>
      </c>
      <c r="B227" s="26" t="s">
        <v>406</v>
      </c>
      <c r="C227" s="19" t="s">
        <v>28</v>
      </c>
      <c r="D227" s="20">
        <v>1</v>
      </c>
      <c r="E227" s="19">
        <v>1</v>
      </c>
      <c r="F227" s="28">
        <v>5000</v>
      </c>
      <c r="G227" s="25">
        <f t="shared" si="104"/>
        <v>5000</v>
      </c>
      <c r="H227" s="544">
        <f t="shared" si="105"/>
        <v>8.47687508476875</v>
      </c>
      <c r="I227" s="642">
        <f t="shared" si="106"/>
        <v>150</v>
      </c>
      <c r="J227" s="642">
        <f t="shared" si="108"/>
        <v>350</v>
      </c>
      <c r="K227" s="642">
        <f t="shared" si="107"/>
        <v>5000</v>
      </c>
      <c r="L227" s="12"/>
      <c r="M227" s="12"/>
      <c r="N227" s="12"/>
      <c r="O227" s="12"/>
    </row>
    <row r="228" spans="1:15" ht="21" customHeight="1" thickBot="1" x14ac:dyDescent="0.3">
      <c r="A228" s="22">
        <v>16</v>
      </c>
      <c r="B228" s="26" t="s">
        <v>407</v>
      </c>
      <c r="C228" s="19" t="s">
        <v>28</v>
      </c>
      <c r="D228" s="20">
        <v>2</v>
      </c>
      <c r="E228" s="19">
        <v>1</v>
      </c>
      <c r="F228" s="28">
        <v>5000</v>
      </c>
      <c r="G228" s="25">
        <f t="shared" si="104"/>
        <v>10000</v>
      </c>
      <c r="H228" s="544">
        <f t="shared" si="105"/>
        <v>16.9537501695375</v>
      </c>
      <c r="I228" s="642">
        <f t="shared" si="106"/>
        <v>300</v>
      </c>
      <c r="J228" s="642">
        <f>350*D228</f>
        <v>700</v>
      </c>
      <c r="K228" s="642">
        <f t="shared" si="107"/>
        <v>5000</v>
      </c>
      <c r="L228" s="12"/>
      <c r="M228" s="12"/>
      <c r="N228" s="12"/>
      <c r="O228" s="12"/>
    </row>
    <row r="229" spans="1:15" ht="21" customHeight="1" thickBot="1" x14ac:dyDescent="0.3">
      <c r="A229" s="22">
        <v>17</v>
      </c>
      <c r="B229" s="26" t="s">
        <v>408</v>
      </c>
      <c r="C229" s="19" t="s">
        <v>28</v>
      </c>
      <c r="D229" s="20">
        <v>8</v>
      </c>
      <c r="E229" s="19">
        <v>1</v>
      </c>
      <c r="F229" s="28">
        <v>5000</v>
      </c>
      <c r="G229" s="25">
        <f t="shared" si="104"/>
        <v>40000</v>
      </c>
      <c r="H229" s="544">
        <f t="shared" si="105"/>
        <v>67.81500067815</v>
      </c>
      <c r="I229" s="642">
        <f t="shared" si="106"/>
        <v>1200</v>
      </c>
      <c r="J229" s="642">
        <f>350*D229</f>
        <v>2800</v>
      </c>
      <c r="K229" s="642">
        <f t="shared" si="107"/>
        <v>5000</v>
      </c>
      <c r="L229" s="12"/>
      <c r="M229" s="12"/>
      <c r="N229" s="12"/>
      <c r="O229" s="12"/>
    </row>
    <row r="230" spans="1:15" ht="21" customHeight="1" thickBot="1" x14ac:dyDescent="0.3">
      <c r="A230" s="22">
        <v>18</v>
      </c>
      <c r="B230" s="26" t="s">
        <v>425</v>
      </c>
      <c r="C230" s="19" t="s">
        <v>28</v>
      </c>
      <c r="D230" s="20">
        <v>2</v>
      </c>
      <c r="E230" s="19">
        <v>1</v>
      </c>
      <c r="F230" s="28">
        <v>0</v>
      </c>
      <c r="G230" s="25">
        <f t="shared" si="104"/>
        <v>0</v>
      </c>
      <c r="H230" s="544">
        <f t="shared" si="105"/>
        <v>0</v>
      </c>
      <c r="I230" s="642">
        <v>0</v>
      </c>
      <c r="J230" s="642">
        <v>0</v>
      </c>
      <c r="K230" s="642">
        <f t="shared" si="107"/>
        <v>0</v>
      </c>
      <c r="L230" s="12"/>
      <c r="M230" s="12"/>
      <c r="N230" s="12"/>
      <c r="O230" s="12"/>
    </row>
    <row r="231" spans="1:15" ht="21" customHeight="1" thickBot="1" x14ac:dyDescent="0.3">
      <c r="A231" s="22">
        <v>19</v>
      </c>
      <c r="B231" s="26" t="s">
        <v>423</v>
      </c>
      <c r="C231" s="19" t="s">
        <v>28</v>
      </c>
      <c r="D231" s="20">
        <v>1</v>
      </c>
      <c r="E231" s="19">
        <v>1</v>
      </c>
      <c r="F231" s="28">
        <v>5000</v>
      </c>
      <c r="G231" s="25">
        <f t="shared" si="104"/>
        <v>5000</v>
      </c>
      <c r="H231" s="544">
        <f t="shared" si="105"/>
        <v>8.47687508476875</v>
      </c>
      <c r="I231" s="642">
        <f t="shared" si="106"/>
        <v>150</v>
      </c>
      <c r="J231" s="642">
        <f t="shared" ref="J231:J234" si="109">350*D231</f>
        <v>350</v>
      </c>
      <c r="K231" s="642">
        <f t="shared" si="107"/>
        <v>5000</v>
      </c>
      <c r="L231" s="12"/>
      <c r="M231" s="12"/>
      <c r="N231" s="12"/>
      <c r="O231" s="12"/>
    </row>
    <row r="232" spans="1:15" ht="21" customHeight="1" thickBot="1" x14ac:dyDescent="0.3">
      <c r="A232" s="22">
        <v>20</v>
      </c>
      <c r="B232" s="26" t="s">
        <v>424</v>
      </c>
      <c r="C232" s="19" t="s">
        <v>28</v>
      </c>
      <c r="D232" s="20">
        <v>1</v>
      </c>
      <c r="E232" s="19">
        <v>1</v>
      </c>
      <c r="F232" s="28">
        <v>5000</v>
      </c>
      <c r="G232" s="25">
        <f t="shared" si="104"/>
        <v>5000</v>
      </c>
      <c r="H232" s="544">
        <f t="shared" si="105"/>
        <v>8.47687508476875</v>
      </c>
      <c r="I232" s="642">
        <f t="shared" si="106"/>
        <v>150</v>
      </c>
      <c r="J232" s="642">
        <f t="shared" si="109"/>
        <v>350</v>
      </c>
      <c r="K232" s="642">
        <f t="shared" si="107"/>
        <v>5000</v>
      </c>
      <c r="L232" s="12"/>
      <c r="M232" s="12"/>
      <c r="N232" s="12"/>
      <c r="O232" s="12"/>
    </row>
    <row r="233" spans="1:15" ht="21" customHeight="1" thickBot="1" x14ac:dyDescent="0.3">
      <c r="A233" s="22">
        <v>21</v>
      </c>
      <c r="B233" s="26" t="s">
        <v>409</v>
      </c>
      <c r="C233" s="19" t="s">
        <v>28</v>
      </c>
      <c r="D233" s="20">
        <v>1</v>
      </c>
      <c r="E233" s="19">
        <v>1</v>
      </c>
      <c r="F233" s="28">
        <v>3000</v>
      </c>
      <c r="G233" s="25">
        <f t="shared" si="104"/>
        <v>3000</v>
      </c>
      <c r="H233" s="544">
        <f t="shared" si="105"/>
        <v>5.0861250508612503</v>
      </c>
      <c r="I233" s="642">
        <f t="shared" si="106"/>
        <v>90</v>
      </c>
      <c r="J233" s="642">
        <f t="shared" si="109"/>
        <v>350</v>
      </c>
      <c r="K233" s="642">
        <f t="shared" si="107"/>
        <v>3000</v>
      </c>
      <c r="L233" s="12"/>
      <c r="M233" s="12"/>
      <c r="N233" s="12"/>
      <c r="O233" s="12"/>
    </row>
    <row r="234" spans="1:15" ht="21" customHeight="1" thickBot="1" x14ac:dyDescent="0.3">
      <c r="A234" s="22">
        <v>22</v>
      </c>
      <c r="B234" s="26" t="s">
        <v>426</v>
      </c>
      <c r="C234" s="19" t="s">
        <v>28</v>
      </c>
      <c r="D234" s="20">
        <f>SUM(D213:D233)</f>
        <v>30</v>
      </c>
      <c r="E234" s="19">
        <v>1</v>
      </c>
      <c r="F234" s="28">
        <v>5000</v>
      </c>
      <c r="G234" s="25">
        <f t="shared" si="104"/>
        <v>150000</v>
      </c>
      <c r="H234" s="544">
        <f t="shared" si="105"/>
        <v>254.3062525430625</v>
      </c>
      <c r="I234" s="642">
        <f t="shared" si="106"/>
        <v>4500</v>
      </c>
      <c r="J234" s="642">
        <f t="shared" si="109"/>
        <v>10500</v>
      </c>
      <c r="K234" s="642">
        <f t="shared" si="107"/>
        <v>5000</v>
      </c>
      <c r="L234" s="12"/>
      <c r="M234" s="12"/>
      <c r="N234" s="12"/>
      <c r="O234" s="12"/>
    </row>
    <row r="235" spans="1:15" ht="21" customHeight="1" thickBot="1" x14ac:dyDescent="0.3">
      <c r="A235" s="22">
        <v>23</v>
      </c>
      <c r="B235" s="26" t="s">
        <v>410</v>
      </c>
      <c r="C235" s="19" t="s">
        <v>28</v>
      </c>
      <c r="D235" s="20">
        <v>13</v>
      </c>
      <c r="E235" s="19">
        <v>2</v>
      </c>
      <c r="F235" s="28">
        <v>1500</v>
      </c>
      <c r="G235" s="25">
        <f t="shared" si="104"/>
        <v>39000</v>
      </c>
      <c r="H235" s="544">
        <f t="shared" si="105"/>
        <v>66.119625661196253</v>
      </c>
      <c r="I235" s="263">
        <f>SUM(I213:I234)</f>
        <v>9810</v>
      </c>
      <c r="J235" s="263">
        <f>SUM(J213:J234)</f>
        <v>20300</v>
      </c>
      <c r="K235" s="12"/>
      <c r="L235" s="12"/>
      <c r="M235" s="12"/>
      <c r="N235" s="12"/>
      <c r="O235" s="12"/>
    </row>
    <row r="236" spans="1:15" ht="21" customHeight="1" thickBot="1" x14ac:dyDescent="0.3">
      <c r="A236" s="22">
        <v>24</v>
      </c>
      <c r="B236" s="26" t="s">
        <v>273</v>
      </c>
      <c r="C236" s="398" t="s">
        <v>29</v>
      </c>
      <c r="D236" s="20">
        <v>20</v>
      </c>
      <c r="E236" s="19">
        <v>1</v>
      </c>
      <c r="F236" s="28">
        <v>800</v>
      </c>
      <c r="G236" s="25">
        <f t="shared" si="104"/>
        <v>16000</v>
      </c>
      <c r="H236" s="544">
        <f t="shared" si="105"/>
        <v>27.126000271260001</v>
      </c>
      <c r="I236" s="11"/>
      <c r="J236" s="12"/>
      <c r="K236" s="12"/>
      <c r="L236" s="12"/>
      <c r="M236" s="12"/>
      <c r="N236" s="12"/>
      <c r="O236" s="12"/>
    </row>
    <row r="237" spans="1:15" ht="19.149999999999999" customHeight="1" thickBot="1" x14ac:dyDescent="0.3">
      <c r="A237" s="780" t="s">
        <v>527</v>
      </c>
      <c r="B237" s="781"/>
      <c r="C237" s="781"/>
      <c r="D237" s="781"/>
      <c r="E237" s="782"/>
      <c r="F237" s="348"/>
      <c r="G237" s="349">
        <f>SUM(G213:G236)</f>
        <v>382000</v>
      </c>
      <c r="H237" s="545">
        <f>SUM(H213:H236)</f>
        <v>647.63325647633235</v>
      </c>
      <c r="I237" s="11"/>
      <c r="J237" s="12"/>
      <c r="K237" s="12"/>
      <c r="L237" s="12"/>
      <c r="M237" s="12"/>
      <c r="N237" s="12"/>
      <c r="O237" s="12"/>
    </row>
    <row r="238" spans="1:15" ht="18" x14ac:dyDescent="0.25">
      <c r="A238" s="29"/>
      <c r="B238" s="205" t="s">
        <v>427</v>
      </c>
      <c r="C238" s="29"/>
      <c r="D238" s="29"/>
      <c r="E238" s="29"/>
      <c r="F238" s="29"/>
      <c r="G238" s="29"/>
      <c r="H238" s="505"/>
      <c r="I238" s="11"/>
      <c r="J238" s="12"/>
      <c r="K238" s="12"/>
      <c r="L238" s="12"/>
      <c r="M238" s="12"/>
      <c r="N238" s="12"/>
      <c r="O238" s="12"/>
    </row>
    <row r="239" spans="1:15" ht="18.75" thickBot="1" x14ac:dyDescent="0.3">
      <c r="A239" s="29"/>
      <c r="B239" s="719" t="s">
        <v>1629</v>
      </c>
      <c r="C239" s="720"/>
      <c r="D239" s="720"/>
      <c r="E239" s="720"/>
      <c r="F239" s="29"/>
      <c r="G239" s="29"/>
      <c r="H239" s="505"/>
      <c r="I239" s="11"/>
      <c r="J239" s="12"/>
      <c r="K239" s="12"/>
      <c r="L239" s="12"/>
      <c r="M239" s="12"/>
      <c r="N239" s="12"/>
      <c r="O239" s="12"/>
    </row>
    <row r="240" spans="1:15" ht="16.5" thickBot="1" x14ac:dyDescent="0.3">
      <c r="A240" s="22">
        <v>1</v>
      </c>
      <c r="B240" s="26" t="s">
        <v>436</v>
      </c>
      <c r="C240" s="23" t="s">
        <v>28</v>
      </c>
      <c r="D240" s="48">
        <v>80</v>
      </c>
      <c r="E240" s="23">
        <v>1</v>
      </c>
      <c r="F240" s="28">
        <f>7500-5000</f>
        <v>2500</v>
      </c>
      <c r="G240" s="25">
        <f t="shared" ref="G240:G257" si="110">D240*E240*F240</f>
        <v>200000</v>
      </c>
      <c r="H240" s="544">
        <f t="shared" ref="H240:H257" si="111">G240/589.84</f>
        <v>339.07500339075</v>
      </c>
      <c r="I240" s="642">
        <f t="shared" ref="I240:I257" si="112">G240*0.03</f>
        <v>6000</v>
      </c>
      <c r="J240" s="642">
        <f>250*D240</f>
        <v>20000</v>
      </c>
      <c r="K240" s="642">
        <f t="shared" ref="K240:K255" si="113">G240/D240</f>
        <v>2500</v>
      </c>
      <c r="L240" s="12"/>
      <c r="M240" s="12"/>
      <c r="N240" s="12"/>
      <c r="O240" s="12"/>
    </row>
    <row r="241" spans="1:15" ht="29.25" thickBot="1" x14ac:dyDescent="0.3">
      <c r="A241" s="22">
        <v>2</v>
      </c>
      <c r="B241" s="26" t="s">
        <v>437</v>
      </c>
      <c r="C241" s="23" t="s">
        <v>28</v>
      </c>
      <c r="D241" s="23">
        <v>36</v>
      </c>
      <c r="E241" s="23">
        <v>1</v>
      </c>
      <c r="F241" s="28">
        <f t="shared" ref="F241:F253" si="114">7500-5000</f>
        <v>2500</v>
      </c>
      <c r="G241" s="25">
        <f t="shared" si="110"/>
        <v>90000</v>
      </c>
      <c r="H241" s="544">
        <f t="shared" si="111"/>
        <v>152.5837515258375</v>
      </c>
      <c r="I241" s="642">
        <f t="shared" si="112"/>
        <v>2700</v>
      </c>
      <c r="J241" s="642">
        <f t="shared" ref="J241:J252" si="115">250*D241</f>
        <v>9000</v>
      </c>
      <c r="K241" s="642">
        <f t="shared" si="113"/>
        <v>2500</v>
      </c>
      <c r="L241" s="12"/>
      <c r="M241" s="12"/>
      <c r="N241" s="12"/>
      <c r="O241" s="12"/>
    </row>
    <row r="242" spans="1:15" ht="29.25" thickBot="1" x14ac:dyDescent="0.3">
      <c r="A242" s="22">
        <v>3</v>
      </c>
      <c r="B242" s="26" t="s">
        <v>438</v>
      </c>
      <c r="C242" s="23" t="s">
        <v>28</v>
      </c>
      <c r="D242" s="23">
        <v>15</v>
      </c>
      <c r="E242" s="23">
        <v>1</v>
      </c>
      <c r="F242" s="28">
        <f t="shared" si="114"/>
        <v>2500</v>
      </c>
      <c r="G242" s="25">
        <f t="shared" si="110"/>
        <v>37500</v>
      </c>
      <c r="H242" s="544">
        <f t="shared" si="111"/>
        <v>63.576563135765625</v>
      </c>
      <c r="I242" s="642">
        <f t="shared" si="112"/>
        <v>1125</v>
      </c>
      <c r="J242" s="642">
        <f t="shared" si="115"/>
        <v>3750</v>
      </c>
      <c r="K242" s="642">
        <f t="shared" si="113"/>
        <v>2500</v>
      </c>
      <c r="L242" s="12"/>
      <c r="M242" s="12"/>
      <c r="N242" s="12"/>
      <c r="O242" s="12"/>
    </row>
    <row r="243" spans="1:15" ht="29.25" thickBot="1" x14ac:dyDescent="0.3">
      <c r="A243" s="22">
        <v>4</v>
      </c>
      <c r="B243" s="26" t="s">
        <v>439</v>
      </c>
      <c r="C243" s="23" t="s">
        <v>28</v>
      </c>
      <c r="D243" s="23">
        <v>42</v>
      </c>
      <c r="E243" s="23">
        <v>1</v>
      </c>
      <c r="F243" s="28">
        <f t="shared" si="114"/>
        <v>2500</v>
      </c>
      <c r="G243" s="25">
        <f t="shared" si="110"/>
        <v>105000</v>
      </c>
      <c r="H243" s="544">
        <f t="shared" si="111"/>
        <v>178.01437678014375</v>
      </c>
      <c r="I243" s="642">
        <f t="shared" si="112"/>
        <v>3150</v>
      </c>
      <c r="J243" s="642">
        <f t="shared" si="115"/>
        <v>10500</v>
      </c>
      <c r="K243" s="642">
        <f t="shared" si="113"/>
        <v>2500</v>
      </c>
      <c r="L243" s="12"/>
      <c r="M243" s="12"/>
      <c r="N243" s="12"/>
      <c r="O243" s="12"/>
    </row>
    <row r="244" spans="1:15" ht="29.25" thickBot="1" x14ac:dyDescent="0.3">
      <c r="A244" s="22">
        <v>5</v>
      </c>
      <c r="B244" s="26" t="s">
        <v>440</v>
      </c>
      <c r="C244" s="23" t="s">
        <v>28</v>
      </c>
      <c r="D244" s="23">
        <v>36</v>
      </c>
      <c r="E244" s="23">
        <v>1</v>
      </c>
      <c r="F244" s="28">
        <f t="shared" si="114"/>
        <v>2500</v>
      </c>
      <c r="G244" s="25">
        <f t="shared" si="110"/>
        <v>90000</v>
      </c>
      <c r="H244" s="544">
        <f t="shared" si="111"/>
        <v>152.5837515258375</v>
      </c>
      <c r="I244" s="642">
        <f t="shared" si="112"/>
        <v>2700</v>
      </c>
      <c r="J244" s="642">
        <f t="shared" si="115"/>
        <v>9000</v>
      </c>
      <c r="K244" s="642">
        <f t="shared" si="113"/>
        <v>2500</v>
      </c>
      <c r="L244" s="12"/>
      <c r="M244" s="12"/>
      <c r="N244" s="12"/>
      <c r="O244" s="12"/>
    </row>
    <row r="245" spans="1:15" ht="29.25" thickBot="1" x14ac:dyDescent="0.3">
      <c r="A245" s="22">
        <v>6</v>
      </c>
      <c r="B245" s="26" t="s">
        <v>441</v>
      </c>
      <c r="C245" s="23" t="s">
        <v>28</v>
      </c>
      <c r="D245" s="23">
        <v>31</v>
      </c>
      <c r="E245" s="23">
        <v>1</v>
      </c>
      <c r="F245" s="28">
        <f t="shared" si="114"/>
        <v>2500</v>
      </c>
      <c r="G245" s="25">
        <f t="shared" si="110"/>
        <v>77500</v>
      </c>
      <c r="H245" s="544">
        <f t="shared" si="111"/>
        <v>131.39156381391564</v>
      </c>
      <c r="I245" s="642">
        <f t="shared" si="112"/>
        <v>2325</v>
      </c>
      <c r="J245" s="642">
        <f t="shared" si="115"/>
        <v>7750</v>
      </c>
      <c r="K245" s="642">
        <f t="shared" si="113"/>
        <v>2500</v>
      </c>
      <c r="L245" s="12"/>
      <c r="M245" s="12"/>
      <c r="N245" s="12"/>
      <c r="O245" s="12"/>
    </row>
    <row r="246" spans="1:15" ht="29.25" thickBot="1" x14ac:dyDescent="0.3">
      <c r="A246" s="22">
        <v>7</v>
      </c>
      <c r="B246" s="26" t="s">
        <v>442</v>
      </c>
      <c r="C246" s="23" t="s">
        <v>28</v>
      </c>
      <c r="D246" s="23">
        <v>7</v>
      </c>
      <c r="E246" s="23">
        <v>1</v>
      </c>
      <c r="F246" s="28">
        <f t="shared" si="114"/>
        <v>2500</v>
      </c>
      <c r="G246" s="25">
        <f t="shared" si="110"/>
        <v>17500</v>
      </c>
      <c r="H246" s="544">
        <f t="shared" si="111"/>
        <v>29.669062796690625</v>
      </c>
      <c r="I246" s="642">
        <f t="shared" si="112"/>
        <v>525</v>
      </c>
      <c r="J246" s="642">
        <f t="shared" si="115"/>
        <v>1750</v>
      </c>
      <c r="K246" s="642">
        <f t="shared" si="113"/>
        <v>2500</v>
      </c>
      <c r="L246" s="12"/>
      <c r="M246" s="12"/>
      <c r="N246" s="12"/>
      <c r="O246" s="12"/>
    </row>
    <row r="247" spans="1:15" ht="29.25" thickBot="1" x14ac:dyDescent="0.3">
      <c r="A247" s="22">
        <v>8</v>
      </c>
      <c r="B247" s="26" t="s">
        <v>443</v>
      </c>
      <c r="C247" s="23" t="s">
        <v>28</v>
      </c>
      <c r="D247" s="23">
        <v>42</v>
      </c>
      <c r="E247" s="23">
        <v>1</v>
      </c>
      <c r="F247" s="28">
        <f t="shared" si="114"/>
        <v>2500</v>
      </c>
      <c r="G247" s="25">
        <f t="shared" si="110"/>
        <v>105000</v>
      </c>
      <c r="H247" s="544">
        <f t="shared" si="111"/>
        <v>178.01437678014375</v>
      </c>
      <c r="I247" s="642">
        <f t="shared" si="112"/>
        <v>3150</v>
      </c>
      <c r="J247" s="642">
        <f>250*D247</f>
        <v>10500</v>
      </c>
      <c r="K247" s="642">
        <f t="shared" si="113"/>
        <v>2500</v>
      </c>
      <c r="L247" s="12"/>
      <c r="M247" s="12"/>
      <c r="N247" s="12"/>
      <c r="O247" s="12"/>
    </row>
    <row r="248" spans="1:15" ht="29.25" thickBot="1" x14ac:dyDescent="0.3">
      <c r="A248" s="22">
        <v>9</v>
      </c>
      <c r="B248" s="26" t="s">
        <v>444</v>
      </c>
      <c r="C248" s="23" t="s">
        <v>28</v>
      </c>
      <c r="D248" s="23">
        <v>23</v>
      </c>
      <c r="E248" s="23">
        <v>1</v>
      </c>
      <c r="F248" s="28">
        <f t="shared" si="114"/>
        <v>2500</v>
      </c>
      <c r="G248" s="25">
        <f t="shared" si="110"/>
        <v>57500</v>
      </c>
      <c r="H248" s="544">
        <f t="shared" si="111"/>
        <v>97.484063474840625</v>
      </c>
      <c r="I248" s="642">
        <f t="shared" si="112"/>
        <v>1725</v>
      </c>
      <c r="J248" s="642">
        <f t="shared" si="115"/>
        <v>5750</v>
      </c>
      <c r="K248" s="642">
        <f t="shared" si="113"/>
        <v>2500</v>
      </c>
      <c r="L248" s="12"/>
      <c r="M248" s="12"/>
      <c r="N248" s="12"/>
      <c r="O248" s="12"/>
    </row>
    <row r="249" spans="1:15" ht="16.5" thickBot="1" x14ac:dyDescent="0.3">
      <c r="A249" s="22">
        <v>10</v>
      </c>
      <c r="B249" s="26" t="s">
        <v>445</v>
      </c>
      <c r="C249" s="23" t="s">
        <v>28</v>
      </c>
      <c r="D249" s="23">
        <v>23</v>
      </c>
      <c r="E249" s="23">
        <v>1</v>
      </c>
      <c r="F249" s="28">
        <f t="shared" si="114"/>
        <v>2500</v>
      </c>
      <c r="G249" s="25">
        <f t="shared" si="110"/>
        <v>57500</v>
      </c>
      <c r="H249" s="544">
        <f t="shared" si="111"/>
        <v>97.484063474840625</v>
      </c>
      <c r="I249" s="642">
        <f t="shared" si="112"/>
        <v>1725</v>
      </c>
      <c r="J249" s="642">
        <f t="shared" si="115"/>
        <v>5750</v>
      </c>
      <c r="K249" s="642">
        <f t="shared" si="113"/>
        <v>2500</v>
      </c>
      <c r="L249" s="12"/>
      <c r="M249" s="12"/>
      <c r="N249" s="12"/>
      <c r="O249" s="12"/>
    </row>
    <row r="250" spans="1:15" ht="29.25" thickBot="1" x14ac:dyDescent="0.3">
      <c r="A250" s="22">
        <v>11</v>
      </c>
      <c r="B250" s="26" t="s">
        <v>446</v>
      </c>
      <c r="C250" s="23" t="s">
        <v>28</v>
      </c>
      <c r="D250" s="23">
        <v>18</v>
      </c>
      <c r="E250" s="23">
        <v>1</v>
      </c>
      <c r="F250" s="28">
        <f t="shared" si="114"/>
        <v>2500</v>
      </c>
      <c r="G250" s="25">
        <f t="shared" si="110"/>
        <v>45000</v>
      </c>
      <c r="H250" s="544">
        <f t="shared" si="111"/>
        <v>76.29187576291875</v>
      </c>
      <c r="I250" s="642">
        <f t="shared" si="112"/>
        <v>1350</v>
      </c>
      <c r="J250" s="642">
        <f t="shared" si="115"/>
        <v>4500</v>
      </c>
      <c r="K250" s="642">
        <f t="shared" si="113"/>
        <v>2500</v>
      </c>
      <c r="L250" s="12"/>
      <c r="M250" s="12"/>
      <c r="N250" s="12"/>
      <c r="O250" s="12"/>
    </row>
    <row r="251" spans="1:15" ht="29.25" thickBot="1" x14ac:dyDescent="0.3">
      <c r="A251" s="22">
        <v>12</v>
      </c>
      <c r="B251" s="26" t="s">
        <v>447</v>
      </c>
      <c r="C251" s="23" t="s">
        <v>28</v>
      </c>
      <c r="D251" s="23">
        <v>30</v>
      </c>
      <c r="E251" s="23">
        <v>1</v>
      </c>
      <c r="F251" s="28">
        <f t="shared" si="114"/>
        <v>2500</v>
      </c>
      <c r="G251" s="25">
        <f t="shared" si="110"/>
        <v>75000</v>
      </c>
      <c r="H251" s="544">
        <f t="shared" si="111"/>
        <v>127.15312627153125</v>
      </c>
      <c r="I251" s="642">
        <f t="shared" si="112"/>
        <v>2250</v>
      </c>
      <c r="J251" s="642">
        <f t="shared" si="115"/>
        <v>7500</v>
      </c>
      <c r="K251" s="642">
        <f t="shared" si="113"/>
        <v>2500</v>
      </c>
      <c r="L251" s="12"/>
      <c r="M251" s="12"/>
      <c r="N251" s="12"/>
      <c r="O251" s="12"/>
    </row>
    <row r="252" spans="1:15" ht="29.25" thickBot="1" x14ac:dyDescent="0.3">
      <c r="A252" s="22">
        <v>13</v>
      </c>
      <c r="B252" s="26" t="s">
        <v>448</v>
      </c>
      <c r="C252" s="23" t="s">
        <v>28</v>
      </c>
      <c r="D252" s="23">
        <v>15</v>
      </c>
      <c r="E252" s="23">
        <v>1</v>
      </c>
      <c r="F252" s="28">
        <f t="shared" si="114"/>
        <v>2500</v>
      </c>
      <c r="G252" s="25">
        <f t="shared" si="110"/>
        <v>37500</v>
      </c>
      <c r="H252" s="544">
        <f t="shared" si="111"/>
        <v>63.576563135765625</v>
      </c>
      <c r="I252" s="642">
        <f t="shared" si="112"/>
        <v>1125</v>
      </c>
      <c r="J252" s="642">
        <f t="shared" si="115"/>
        <v>3750</v>
      </c>
      <c r="K252" s="642">
        <f t="shared" si="113"/>
        <v>2500</v>
      </c>
      <c r="L252" s="12"/>
      <c r="M252" s="12"/>
      <c r="N252" s="12"/>
      <c r="O252" s="12"/>
    </row>
    <row r="253" spans="1:15" ht="19.5" customHeight="1" thickBot="1" x14ac:dyDescent="0.3">
      <c r="A253" s="22">
        <v>14</v>
      </c>
      <c r="B253" s="26" t="s">
        <v>449</v>
      </c>
      <c r="C253" s="23" t="s">
        <v>28</v>
      </c>
      <c r="D253" s="23">
        <v>43</v>
      </c>
      <c r="E253" s="23">
        <v>1</v>
      </c>
      <c r="F253" s="28">
        <f t="shared" si="114"/>
        <v>2500</v>
      </c>
      <c r="G253" s="25">
        <f t="shared" si="110"/>
        <v>107500</v>
      </c>
      <c r="H253" s="544">
        <f t="shared" si="111"/>
        <v>182.25281432252814</v>
      </c>
      <c r="I253" s="642">
        <f t="shared" si="112"/>
        <v>3225</v>
      </c>
      <c r="J253" s="642">
        <f>250*D253</f>
        <v>10750</v>
      </c>
      <c r="K253" s="642">
        <f t="shared" si="113"/>
        <v>2500</v>
      </c>
      <c r="L253" s="12"/>
      <c r="M253" s="12"/>
      <c r="N253" s="12"/>
      <c r="O253" s="12"/>
    </row>
    <row r="254" spans="1:15" ht="19.5" customHeight="1" thickBot="1" x14ac:dyDescent="0.3">
      <c r="A254" s="22">
        <v>15</v>
      </c>
      <c r="B254" s="26" t="s">
        <v>1628</v>
      </c>
      <c r="C254" s="23" t="s">
        <v>28</v>
      </c>
      <c r="D254" s="23">
        <v>14</v>
      </c>
      <c r="E254" s="23">
        <v>1</v>
      </c>
      <c r="F254" s="28">
        <v>3000</v>
      </c>
      <c r="G254" s="25">
        <f t="shared" si="110"/>
        <v>42000</v>
      </c>
      <c r="H254" s="544">
        <f t="shared" si="111"/>
        <v>71.205750712057508</v>
      </c>
      <c r="I254" s="642">
        <f t="shared" si="112"/>
        <v>1260</v>
      </c>
      <c r="J254" s="642">
        <f>350*D254</f>
        <v>4900</v>
      </c>
      <c r="K254" s="642">
        <f t="shared" si="113"/>
        <v>3000</v>
      </c>
      <c r="L254" s="12"/>
      <c r="M254" s="12"/>
      <c r="N254" s="12"/>
      <c r="O254" s="12"/>
    </row>
    <row r="255" spans="1:15" ht="19.5" customHeight="1" thickBot="1" x14ac:dyDescent="0.3">
      <c r="A255" s="22">
        <v>16</v>
      </c>
      <c r="B255" s="26" t="s">
        <v>1340</v>
      </c>
      <c r="C255" s="23" t="s">
        <v>28</v>
      </c>
      <c r="D255" s="20">
        <v>14</v>
      </c>
      <c r="E255" s="23">
        <v>1</v>
      </c>
      <c r="F255" s="25">
        <v>2000</v>
      </c>
      <c r="G255" s="25">
        <f t="shared" si="110"/>
        <v>28000</v>
      </c>
      <c r="H255" s="544">
        <f t="shared" si="111"/>
        <v>47.470500474705005</v>
      </c>
      <c r="I255" s="642">
        <f t="shared" si="112"/>
        <v>840</v>
      </c>
      <c r="J255" s="642">
        <f>125*D255</f>
        <v>1750</v>
      </c>
      <c r="K255" s="642">
        <f t="shared" si="113"/>
        <v>2000</v>
      </c>
      <c r="L255" s="12"/>
      <c r="M255" s="12"/>
      <c r="N255" s="12"/>
      <c r="O255" s="12"/>
    </row>
    <row r="256" spans="1:15" ht="19.5" customHeight="1" thickBot="1" x14ac:dyDescent="0.3">
      <c r="A256" s="22">
        <v>17</v>
      </c>
      <c r="B256" s="26" t="s">
        <v>1341</v>
      </c>
      <c r="C256" s="23" t="s">
        <v>28</v>
      </c>
      <c r="D256" s="20">
        <f>SUM(D240:D255)</f>
        <v>469</v>
      </c>
      <c r="E256" s="23">
        <v>1</v>
      </c>
      <c r="F256" s="25">
        <v>3000</v>
      </c>
      <c r="G256" s="25">
        <f t="shared" si="110"/>
        <v>1407000</v>
      </c>
      <c r="H256" s="544">
        <f t="shared" si="111"/>
        <v>2385.3926488539264</v>
      </c>
      <c r="I256" s="642">
        <v>0</v>
      </c>
      <c r="J256" s="642">
        <v>0</v>
      </c>
      <c r="K256" s="642">
        <v>0</v>
      </c>
      <c r="L256" s="12"/>
      <c r="M256" s="12"/>
      <c r="N256" s="12"/>
      <c r="O256" s="12"/>
    </row>
    <row r="257" spans="1:16" ht="19.5" customHeight="1" thickBot="1" x14ac:dyDescent="0.3">
      <c r="A257" s="22">
        <v>18</v>
      </c>
      <c r="B257" s="26" t="s">
        <v>432</v>
      </c>
      <c r="C257" s="23" t="s">
        <v>30</v>
      </c>
      <c r="D257" s="20">
        <v>0</v>
      </c>
      <c r="E257" s="23">
        <v>1</v>
      </c>
      <c r="F257" s="25">
        <v>800</v>
      </c>
      <c r="G257" s="25">
        <f t="shared" si="110"/>
        <v>0</v>
      </c>
      <c r="H257" s="544">
        <f t="shared" si="111"/>
        <v>0</v>
      </c>
      <c r="I257" s="642">
        <f t="shared" si="112"/>
        <v>0</v>
      </c>
      <c r="J257" s="642">
        <f t="shared" ref="J257" si="116">1600*D257</f>
        <v>0</v>
      </c>
      <c r="K257" s="642">
        <v>0</v>
      </c>
      <c r="L257" s="12"/>
      <c r="M257" s="12"/>
      <c r="N257" s="12"/>
      <c r="O257" s="12"/>
    </row>
    <row r="258" spans="1:16" ht="18.75" thickBot="1" x14ac:dyDescent="0.3">
      <c r="A258" s="341"/>
      <c r="B258" s="342" t="s">
        <v>1421</v>
      </c>
      <c r="C258" s="343"/>
      <c r="D258" s="343"/>
      <c r="E258" s="343"/>
      <c r="F258" s="344"/>
      <c r="G258" s="344">
        <f>SUM(G240:G257)</f>
        <v>2579500</v>
      </c>
      <c r="H258" s="516">
        <f>SUM(H240:H257)</f>
        <v>4373.2198562321983</v>
      </c>
      <c r="I258" s="263">
        <f>SUM(I240:I257)</f>
        <v>35175</v>
      </c>
      <c r="J258" s="263">
        <f>SUM(J240:J257)</f>
        <v>116900</v>
      </c>
      <c r="K258" s="12"/>
      <c r="L258" s="12"/>
      <c r="M258" s="12"/>
      <c r="N258" s="12"/>
      <c r="O258" s="12"/>
    </row>
    <row r="259" spans="1:16" s="399" customFormat="1" ht="18" customHeight="1" thickBot="1" x14ac:dyDescent="0.3">
      <c r="A259" s="386"/>
      <c r="B259" s="401" t="s">
        <v>1387</v>
      </c>
      <c r="C259" s="402"/>
      <c r="D259" s="402"/>
      <c r="E259" s="402"/>
      <c r="F259" s="402"/>
      <c r="G259" s="402"/>
      <c r="H259" s="606"/>
      <c r="I259" s="11"/>
      <c r="J259" s="12"/>
      <c r="K259" s="12"/>
      <c r="L259" s="12"/>
      <c r="M259" s="12"/>
      <c r="N259" s="12"/>
      <c r="O259" s="12"/>
    </row>
    <row r="260" spans="1:16" s="48" customFormat="1" ht="21.75" customHeight="1" thickBot="1" x14ac:dyDescent="0.3">
      <c r="A260" s="17">
        <v>1</v>
      </c>
      <c r="B260" s="410" t="s">
        <v>1388</v>
      </c>
      <c r="C260" s="19" t="s">
        <v>28</v>
      </c>
      <c r="D260" s="20">
        <v>15</v>
      </c>
      <c r="E260" s="19">
        <v>1</v>
      </c>
      <c r="F260" s="28">
        <v>5000</v>
      </c>
      <c r="G260" s="28">
        <f t="shared" ref="G260:G263" si="117">D260*E260*F260</f>
        <v>75000</v>
      </c>
      <c r="H260" s="551">
        <f t="shared" ref="H260:H263" si="118">G260/589.84</f>
        <v>127.15312627153125</v>
      </c>
      <c r="I260" s="642">
        <f>G260*0.03</f>
        <v>2250</v>
      </c>
      <c r="J260" s="642">
        <f t="shared" ref="J260:J261" si="119">1600*D260</f>
        <v>24000</v>
      </c>
      <c r="K260" s="642">
        <f t="shared" ref="K260:K261" si="120">G260/D260</f>
        <v>5000</v>
      </c>
      <c r="L260" s="12"/>
      <c r="M260" s="12"/>
      <c r="N260" s="12"/>
      <c r="O260" s="12"/>
    </row>
    <row r="261" spans="1:16" s="48" customFormat="1" ht="30.75" thickBot="1" x14ac:dyDescent="0.3">
      <c r="A261" s="17">
        <v>2</v>
      </c>
      <c r="B261" s="410" t="s">
        <v>1474</v>
      </c>
      <c r="C261" s="19" t="s">
        <v>1475</v>
      </c>
      <c r="D261" s="20">
        <v>2</v>
      </c>
      <c r="E261" s="19">
        <v>1</v>
      </c>
      <c r="F261" s="28">
        <v>50000</v>
      </c>
      <c r="G261" s="28">
        <f t="shared" si="117"/>
        <v>100000</v>
      </c>
      <c r="H261" s="551">
        <f t="shared" si="118"/>
        <v>169.537501695375</v>
      </c>
      <c r="I261" s="642">
        <f>G261*0.03</f>
        <v>3000</v>
      </c>
      <c r="J261" s="642">
        <f t="shared" si="119"/>
        <v>3200</v>
      </c>
      <c r="K261" s="642">
        <f t="shared" si="120"/>
        <v>50000</v>
      </c>
      <c r="L261" s="12"/>
      <c r="M261" s="12"/>
      <c r="N261" s="12"/>
      <c r="O261" s="12"/>
    </row>
    <row r="262" spans="1:16" ht="18.75" thickBot="1" x14ac:dyDescent="0.3">
      <c r="A262" s="341"/>
      <c r="B262" s="342" t="s">
        <v>1422</v>
      </c>
      <c r="C262" s="343"/>
      <c r="D262" s="343"/>
      <c r="E262" s="343"/>
      <c r="F262" s="344"/>
      <c r="G262" s="344">
        <f>SUM(G260:G261)</f>
        <v>175000</v>
      </c>
      <c r="H262" s="516">
        <f>SUM(H260:H261)</f>
        <v>296.69062796690628</v>
      </c>
      <c r="I262" s="263">
        <f>SUM(I260:I261)</f>
        <v>5250</v>
      </c>
      <c r="J262" s="263">
        <f>SUM(J260:J261)</f>
        <v>27200</v>
      </c>
      <c r="K262" s="12"/>
      <c r="L262" s="12"/>
      <c r="M262" s="12"/>
      <c r="N262" s="12"/>
      <c r="O262" s="12"/>
    </row>
    <row r="263" spans="1:16" s="48" customFormat="1" ht="36.75" thickBot="1" x14ac:dyDescent="0.3">
      <c r="A263" s="17"/>
      <c r="B263" s="408" t="s">
        <v>1424</v>
      </c>
      <c r="C263" s="19" t="s">
        <v>1476</v>
      </c>
      <c r="D263" s="20">
        <v>1</v>
      </c>
      <c r="E263" s="19">
        <v>1</v>
      </c>
      <c r="F263" s="28">
        <v>100000</v>
      </c>
      <c r="G263" s="28">
        <f t="shared" si="117"/>
        <v>100000</v>
      </c>
      <c r="H263" s="551">
        <f t="shared" si="118"/>
        <v>169.537501695375</v>
      </c>
      <c r="I263" s="642">
        <f t="shared" ref="I263" si="121">G263*0.03</f>
        <v>3000</v>
      </c>
      <c r="J263" s="642">
        <f t="shared" ref="J263" si="122">1600*D263</f>
        <v>1600</v>
      </c>
      <c r="K263" s="642">
        <f t="shared" ref="K263" si="123">G263/D263</f>
        <v>100000</v>
      </c>
      <c r="L263" s="12"/>
      <c r="M263" s="12"/>
      <c r="N263" s="12"/>
      <c r="O263" s="12"/>
    </row>
    <row r="264" spans="1:16" s="48" customFormat="1" ht="18" x14ac:dyDescent="0.25">
      <c r="A264" s="18"/>
      <c r="B264" s="205" t="s">
        <v>1425</v>
      </c>
      <c r="C264" s="18"/>
      <c r="D264" s="18"/>
      <c r="E264" s="18"/>
      <c r="F264" s="18"/>
      <c r="G264" s="18"/>
      <c r="H264" s="550"/>
      <c r="I264" s="263">
        <f>I263</f>
        <v>3000</v>
      </c>
      <c r="J264" s="263">
        <f>J263</f>
        <v>1600</v>
      </c>
      <c r="K264" s="501"/>
      <c r="L264" s="501"/>
      <c r="M264" s="501"/>
      <c r="N264" s="501"/>
      <c r="O264" s="501"/>
    </row>
    <row r="265" spans="1:16" s="48" customFormat="1" x14ac:dyDescent="0.25">
      <c r="A265" s="598">
        <v>1</v>
      </c>
      <c r="B265" s="575" t="s">
        <v>1391</v>
      </c>
      <c r="C265" s="575" t="s">
        <v>17</v>
      </c>
      <c r="D265" s="722">
        <v>200</v>
      </c>
      <c r="E265" s="722">
        <v>1</v>
      </c>
      <c r="F265" s="721">
        <v>800</v>
      </c>
      <c r="G265" s="424">
        <f>+D265*E265*F265</f>
        <v>160000</v>
      </c>
      <c r="H265" s="425">
        <f>+G265/589.84</f>
        <v>271.2600027126</v>
      </c>
      <c r="I265" s="530"/>
      <c r="J265" s="501"/>
      <c r="K265" s="501"/>
      <c r="L265" s="501"/>
      <c r="M265" s="501"/>
      <c r="N265" s="501"/>
      <c r="O265" s="501"/>
    </row>
    <row r="266" spans="1:16" s="430" customFormat="1" x14ac:dyDescent="0.25">
      <c r="A266" s="577">
        <v>2</v>
      </c>
      <c r="B266" s="577" t="s">
        <v>1339</v>
      </c>
      <c r="C266" s="577" t="s">
        <v>28</v>
      </c>
      <c r="D266" s="578">
        <v>1</v>
      </c>
      <c r="E266" s="578">
        <v>1</v>
      </c>
      <c r="F266" s="28">
        <v>8000</v>
      </c>
      <c r="G266" s="25">
        <f t="shared" ref="G266:G267" si="124">+D266*E266*F266</f>
        <v>8000</v>
      </c>
      <c r="H266" s="515">
        <f t="shared" ref="H266:H267" si="125">+G266/589.84</f>
        <v>13.56300013563</v>
      </c>
      <c r="I266" s="642">
        <f>G266*0.03</f>
        <v>240</v>
      </c>
      <c r="J266" s="642">
        <f t="shared" ref="J266:J267" si="126">1600*D266</f>
        <v>1600</v>
      </c>
      <c r="K266" s="642">
        <f t="shared" ref="K266:K267" si="127">G266/D266</f>
        <v>8000</v>
      </c>
      <c r="L266" s="501"/>
      <c r="M266" s="501"/>
      <c r="N266" s="501"/>
      <c r="O266" s="501"/>
      <c r="P266" s="499"/>
    </row>
    <row r="267" spans="1:16" s="430" customFormat="1" ht="16.5" thickBot="1" x14ac:dyDescent="0.3">
      <c r="A267" s="577">
        <v>3</v>
      </c>
      <c r="B267" s="577" t="s">
        <v>1394</v>
      </c>
      <c r="C267" s="577" t="s">
        <v>28</v>
      </c>
      <c r="D267" s="578">
        <v>1</v>
      </c>
      <c r="E267" s="578">
        <v>1</v>
      </c>
      <c r="F267" s="28">
        <v>8000</v>
      </c>
      <c r="G267" s="25">
        <f t="shared" si="124"/>
        <v>8000</v>
      </c>
      <c r="H267" s="515">
        <f t="shared" si="125"/>
        <v>13.56300013563</v>
      </c>
      <c r="I267" s="642">
        <f t="shared" ref="I267" si="128">G267*0.03</f>
        <v>240</v>
      </c>
      <c r="J267" s="642">
        <f t="shared" si="126"/>
        <v>1600</v>
      </c>
      <c r="K267" s="642">
        <f t="shared" si="127"/>
        <v>8000</v>
      </c>
      <c r="L267" s="501"/>
      <c r="M267" s="501"/>
      <c r="N267" s="501"/>
      <c r="O267" s="501"/>
      <c r="P267" s="499"/>
    </row>
    <row r="268" spans="1:16" ht="18.75" thickBot="1" x14ac:dyDescent="0.3">
      <c r="A268" s="341"/>
      <c r="B268" s="342" t="s">
        <v>1397</v>
      </c>
      <c r="C268" s="343"/>
      <c r="D268" s="343"/>
      <c r="E268" s="343"/>
      <c r="F268" s="344"/>
      <c r="G268" s="344">
        <f>SUM(G265:G267)</f>
        <v>176000</v>
      </c>
      <c r="H268" s="516">
        <f>SUM(H265:H267)</f>
        <v>298.38600298385995</v>
      </c>
      <c r="I268" s="263">
        <f>SUM(I266:I267)</f>
        <v>480</v>
      </c>
      <c r="J268" s="263">
        <f>SUM(J266:J267)</f>
        <v>3200</v>
      </c>
      <c r="K268" s="12"/>
      <c r="L268" s="12"/>
      <c r="M268" s="12"/>
      <c r="N268" s="12"/>
      <c r="O268" s="12"/>
    </row>
    <row r="269" spans="1:16" s="48" customFormat="1" ht="18" x14ac:dyDescent="0.25">
      <c r="A269" s="18"/>
      <c r="B269" s="205" t="s">
        <v>1627</v>
      </c>
      <c r="C269" s="18"/>
      <c r="D269" s="18"/>
      <c r="E269" s="18"/>
      <c r="F269" s="18"/>
      <c r="G269" s="18"/>
      <c r="H269" s="550"/>
      <c r="I269" s="530"/>
      <c r="J269" s="501"/>
      <c r="K269" s="501"/>
      <c r="L269" s="501"/>
      <c r="M269" s="501"/>
      <c r="N269" s="501"/>
      <c r="O269" s="501"/>
    </row>
    <row r="270" spans="1:16" s="430" customFormat="1" x14ac:dyDescent="0.25">
      <c r="A270" s="577">
        <v>1</v>
      </c>
      <c r="B270" s="577" t="s">
        <v>1395</v>
      </c>
      <c r="C270" s="577" t="s">
        <v>28</v>
      </c>
      <c r="D270" s="578">
        <v>2</v>
      </c>
      <c r="E270" s="578">
        <v>5</v>
      </c>
      <c r="F270" s="28">
        <v>10000</v>
      </c>
      <c r="G270" s="25">
        <f>+D270*E270*F270</f>
        <v>100000</v>
      </c>
      <c r="H270" s="515">
        <f>+G270/589.84</f>
        <v>169.537501695375</v>
      </c>
      <c r="I270" s="642">
        <f t="shared" ref="I270" si="129">G270*0.03</f>
        <v>3000</v>
      </c>
      <c r="J270" s="642">
        <f t="shared" ref="J270" si="130">1600*D270</f>
        <v>3200</v>
      </c>
      <c r="K270" s="642">
        <f t="shared" ref="K270" si="131">G270/D270</f>
        <v>50000</v>
      </c>
      <c r="L270" s="501"/>
      <c r="M270" s="501"/>
      <c r="N270" s="501"/>
      <c r="O270" s="501"/>
      <c r="P270" s="499"/>
    </row>
    <row r="271" spans="1:16" s="430" customFormat="1" ht="16.5" thickBot="1" x14ac:dyDescent="0.3">
      <c r="A271" s="577">
        <v>2</v>
      </c>
      <c r="B271" s="577" t="s">
        <v>88</v>
      </c>
      <c r="C271" s="577" t="s">
        <v>17</v>
      </c>
      <c r="D271" s="578">
        <v>1000</v>
      </c>
      <c r="E271" s="578">
        <v>1</v>
      </c>
      <c r="F271" s="28">
        <v>800</v>
      </c>
      <c r="G271" s="25">
        <f t="shared" ref="G271" si="132">+D271*E271*F271</f>
        <v>800000</v>
      </c>
      <c r="H271" s="515">
        <f t="shared" ref="H271" si="133">+G271/589.84</f>
        <v>1356.300013563</v>
      </c>
      <c r="I271" s="530"/>
      <c r="J271" s="501"/>
      <c r="K271" s="501"/>
      <c r="L271" s="501"/>
      <c r="M271" s="501"/>
      <c r="N271" s="501"/>
      <c r="O271" s="501"/>
      <c r="P271" s="499"/>
    </row>
    <row r="272" spans="1:16" ht="18.75" thickBot="1" x14ac:dyDescent="0.3">
      <c r="A272" s="341"/>
      <c r="B272" s="342" t="s">
        <v>1397</v>
      </c>
      <c r="C272" s="343"/>
      <c r="D272" s="343"/>
      <c r="E272" s="343"/>
      <c r="F272" s="344"/>
      <c r="G272" s="344">
        <f>SUM(G270:G271)</f>
        <v>900000</v>
      </c>
      <c r="H272" s="516">
        <f>SUM(H270:H271)</f>
        <v>1525.8375152583749</v>
      </c>
      <c r="I272" s="263">
        <f>I270</f>
        <v>3000</v>
      </c>
      <c r="J272" s="263">
        <f>J270</f>
        <v>3200</v>
      </c>
      <c r="K272" s="12"/>
      <c r="L272" s="12"/>
      <c r="M272" s="12"/>
      <c r="N272" s="12"/>
      <c r="O272" s="12"/>
    </row>
    <row r="273" spans="1:47" ht="24" thickBot="1" x14ac:dyDescent="0.4">
      <c r="A273" s="777" t="s">
        <v>91</v>
      </c>
      <c r="B273" s="778"/>
      <c r="C273" s="778"/>
      <c r="D273" s="778"/>
      <c r="E273" s="779"/>
      <c r="F273" s="432"/>
      <c r="G273" s="433">
        <f>SUM(G272+G268+G262+G263+G258+G237+G211+G193+G174+G142+G118+G108+G101+G94+G87+G80+G73+G66+G59+G52+G45+G38+G31+G24+G17)</f>
        <v>62623000</v>
      </c>
      <c r="H273" s="607">
        <f>SUM(H272+H268+H258+H237+H211+H193+H174+H142+H118+H108+H101+H94+H87+H80+H73+H66+H59+H52+H45+H38+H31+H24+H17)</f>
        <v>105703.24155703241</v>
      </c>
      <c r="I273" s="433">
        <f>I17+I24+I31+I38+I142+I45+I52+I59+I66+I73+I80+I87+I94+I101+I108+I118+I171+I192+I211+I235+I258+I262+I264+I268+I272</f>
        <v>1566810</v>
      </c>
      <c r="J273" s="433">
        <f>J17+J24+J31+J38+J142+J45+J52+J59+J66+J73+J80+J87+J94+J101+J108+J118+J171+J192+J211+J235+J258+J262+J264+J268+J272</f>
        <v>1272050</v>
      </c>
      <c r="K273" s="500"/>
      <c r="L273" s="500"/>
      <c r="M273" s="500"/>
      <c r="N273" s="500"/>
      <c r="O273" s="500"/>
    </row>
    <row r="274" spans="1:47" s="34" customFormat="1" x14ac:dyDescent="0.25">
      <c r="A274" s="238"/>
      <c r="B274" s="238"/>
      <c r="C274" s="238"/>
      <c r="D274" s="237"/>
      <c r="E274" s="237"/>
      <c r="F274" s="237"/>
      <c r="G274" s="237"/>
      <c r="H274" s="237"/>
      <c r="I274" s="564"/>
      <c r="J274" s="564"/>
      <c r="K274" s="564"/>
      <c r="L274" s="564"/>
      <c r="M274" s="564"/>
      <c r="N274" s="564"/>
      <c r="O274" s="56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</row>
    <row r="275" spans="1:47" s="34" customFormat="1" x14ac:dyDescent="0.25">
      <c r="A275" s="238" t="s">
        <v>1535</v>
      </c>
      <c r="B275" s="238"/>
      <c r="C275" s="237"/>
      <c r="D275" s="237"/>
      <c r="E275" s="237"/>
      <c r="F275" s="237"/>
      <c r="G275" s="237"/>
      <c r="H275" s="237"/>
      <c r="I275" s="564"/>
      <c r="J275" s="564"/>
      <c r="K275" s="564"/>
      <c r="L275" s="564"/>
      <c r="M275" s="564"/>
      <c r="N275" s="564"/>
      <c r="O275" s="564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</row>
    <row r="276" spans="1:47" s="34" customFormat="1" x14ac:dyDescent="0.25">
      <c r="A276" s="238" t="s">
        <v>1538</v>
      </c>
      <c r="B276" s="238"/>
      <c r="C276" s="237"/>
      <c r="D276" s="237"/>
      <c r="E276" s="237"/>
      <c r="F276" s="237"/>
      <c r="G276" s="237"/>
      <c r="H276" s="237"/>
      <c r="I276" s="564"/>
      <c r="J276" s="564"/>
      <c r="K276" s="564"/>
      <c r="L276" s="564"/>
      <c r="M276" s="564"/>
      <c r="N276" s="564"/>
      <c r="O276" s="564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</row>
    <row r="277" spans="1:47" s="34" customFormat="1" x14ac:dyDescent="0.25">
      <c r="A277" s="238"/>
      <c r="B277" s="238"/>
      <c r="C277" s="237"/>
      <c r="D277" s="237"/>
      <c r="E277" s="237"/>
      <c r="F277" s="237"/>
      <c r="G277" s="237"/>
      <c r="H277" s="237"/>
      <c r="I277" s="564"/>
      <c r="J277" s="564"/>
      <c r="K277" s="564"/>
      <c r="L277" s="564"/>
      <c r="M277" s="564"/>
      <c r="N277" s="564"/>
      <c r="O277" s="564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</row>
    <row r="278" spans="1:47" s="34" customFormat="1" x14ac:dyDescent="0.25">
      <c r="A278" s="238" t="s">
        <v>1331</v>
      </c>
      <c r="B278" s="238"/>
      <c r="C278" s="237"/>
      <c r="D278" s="237"/>
      <c r="E278" s="237"/>
      <c r="F278" s="237"/>
      <c r="G278" s="237"/>
      <c r="H278" s="237"/>
      <c r="I278" s="564" t="s">
        <v>1536</v>
      </c>
      <c r="J278" s="564"/>
      <c r="K278" s="564"/>
      <c r="L278" s="564"/>
      <c r="M278" s="564" t="s">
        <v>1530</v>
      </c>
      <c r="N278" s="564"/>
      <c r="O278" s="542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</row>
    <row r="279" spans="1:47" s="34" customFormat="1" x14ac:dyDescent="0.25">
      <c r="A279" s="237"/>
      <c r="B279" s="239"/>
      <c r="C279" s="237"/>
      <c r="D279" s="237"/>
      <c r="E279" s="237"/>
      <c r="F279" s="237"/>
      <c r="G279" s="237"/>
      <c r="H279" s="237"/>
      <c r="I279" s="564"/>
      <c r="J279" s="564"/>
      <c r="K279" s="564"/>
      <c r="L279" s="564"/>
      <c r="M279" s="564"/>
      <c r="N279" s="564"/>
      <c r="O279" s="542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</row>
    <row r="280" spans="1:47" s="34" customFormat="1" x14ac:dyDescent="0.25">
      <c r="A280" s="240" t="s">
        <v>1537</v>
      </c>
      <c r="B280" s="241"/>
      <c r="C280" s="240"/>
      <c r="D280" s="240"/>
      <c r="E280" s="240"/>
      <c r="F280" s="240"/>
      <c r="G280" s="240"/>
      <c r="H280" s="237"/>
      <c r="I280" s="564"/>
      <c r="J280" s="564"/>
      <c r="K280" s="564"/>
      <c r="L280" s="564"/>
      <c r="M280" s="564"/>
      <c r="N280" s="564"/>
      <c r="O280" s="564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</row>
    <row r="281" spans="1:47" s="34" customFormat="1" x14ac:dyDescent="0.25">
      <c r="A281" s="240"/>
      <c r="B281" s="241"/>
      <c r="C281" s="240"/>
      <c r="D281" s="240"/>
      <c r="E281" s="240"/>
      <c r="F281" s="240"/>
      <c r="G281" s="237"/>
      <c r="H281" s="237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</row>
    <row r="282" spans="1:47" s="34" customFormat="1" x14ac:dyDescent="0.25">
      <c r="A282" s="240"/>
      <c r="B282" s="241"/>
      <c r="C282" s="240"/>
      <c r="D282" s="240"/>
      <c r="E282" s="240"/>
      <c r="F282" s="240"/>
      <c r="G282" s="240"/>
      <c r="H282" s="240"/>
      <c r="I282" s="236"/>
      <c r="J282" s="236"/>
      <c r="K282" s="236"/>
      <c r="L282" s="236"/>
      <c r="M282" s="236"/>
      <c r="N282" s="236"/>
      <c r="O282" s="236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</row>
    <row r="283" spans="1:47" x14ac:dyDescent="0.25">
      <c r="B283" s="121"/>
    </row>
    <row r="284" spans="1:47" x14ac:dyDescent="0.25">
      <c r="B284" s="121"/>
    </row>
    <row r="285" spans="1:47" x14ac:dyDescent="0.25">
      <c r="B285" s="121"/>
    </row>
    <row r="286" spans="1:47" x14ac:dyDescent="0.25">
      <c r="B286" s="121"/>
    </row>
    <row r="287" spans="1:47" x14ac:dyDescent="0.25">
      <c r="B287" s="121"/>
    </row>
    <row r="288" spans="1:47" x14ac:dyDescent="0.25">
      <c r="B288" s="121"/>
    </row>
    <row r="289" spans="2:2" x14ac:dyDescent="0.25">
      <c r="B289" s="121"/>
    </row>
    <row r="290" spans="2:2" x14ac:dyDescent="0.25">
      <c r="B290" s="121"/>
    </row>
    <row r="291" spans="2:2" x14ac:dyDescent="0.25">
      <c r="B291" s="121"/>
    </row>
    <row r="292" spans="2:2" x14ac:dyDescent="0.25">
      <c r="B292" s="121"/>
    </row>
    <row r="293" spans="2:2" x14ac:dyDescent="0.25">
      <c r="B293" s="121"/>
    </row>
    <row r="294" spans="2:2" x14ac:dyDescent="0.25">
      <c r="B294" s="121"/>
    </row>
    <row r="295" spans="2:2" x14ac:dyDescent="0.25">
      <c r="B295" s="121"/>
    </row>
    <row r="296" spans="2:2" x14ac:dyDescent="0.25">
      <c r="B296" s="121"/>
    </row>
    <row r="297" spans="2:2" x14ac:dyDescent="0.25">
      <c r="B297" s="121"/>
    </row>
    <row r="298" spans="2:2" x14ac:dyDescent="0.25">
      <c r="B298" s="121"/>
    </row>
    <row r="299" spans="2:2" x14ac:dyDescent="0.25">
      <c r="B299" s="121"/>
    </row>
    <row r="300" spans="2:2" x14ac:dyDescent="0.25">
      <c r="B300" s="121"/>
    </row>
    <row r="301" spans="2:2" x14ac:dyDescent="0.25">
      <c r="B301" s="121"/>
    </row>
    <row r="302" spans="2:2" x14ac:dyDescent="0.25">
      <c r="B302" s="121"/>
    </row>
  </sheetData>
  <mergeCells count="5">
    <mergeCell ref="A7:F7"/>
    <mergeCell ref="O7:O8"/>
    <mergeCell ref="A273:E273"/>
    <mergeCell ref="A142:E142"/>
    <mergeCell ref="A237:E2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AF22A"/>
  </sheetPr>
  <dimension ref="A1:AW1088"/>
  <sheetViews>
    <sheetView topLeftCell="A94" zoomScale="120" zoomScaleNormal="120" workbookViewId="0">
      <selection activeCell="D102" sqref="D102"/>
    </sheetView>
  </sheetViews>
  <sheetFormatPr baseColWidth="10" defaultColWidth="10.625" defaultRowHeight="15.75" x14ac:dyDescent="0.25"/>
  <cols>
    <col min="1" max="1" width="9.625" style="48" customWidth="1"/>
    <col min="2" max="2" width="50.375" style="48" customWidth="1"/>
    <col min="3" max="3" width="23.125" style="48" customWidth="1"/>
    <col min="4" max="4" width="17.75" style="48" customWidth="1"/>
    <col min="5" max="5" width="12.375" style="48" customWidth="1"/>
    <col min="6" max="6" width="17" style="48" customWidth="1"/>
    <col min="7" max="8" width="25.5" style="48" customWidth="1"/>
    <col min="9" max="9" width="26.375" customWidth="1"/>
    <col min="10" max="10" width="23.75" customWidth="1"/>
    <col min="11" max="11" width="20.25" customWidth="1"/>
    <col min="12" max="257" width="8.875" customWidth="1"/>
  </cols>
  <sheetData>
    <row r="1" spans="1:15" x14ac:dyDescent="0.25">
      <c r="A1" s="207" t="s">
        <v>1344</v>
      </c>
      <c r="B1" s="207"/>
      <c r="C1" s="207"/>
      <c r="D1" s="207"/>
      <c r="E1" s="207"/>
      <c r="F1" s="207"/>
      <c r="G1" s="207"/>
      <c r="H1" s="207"/>
      <c r="I1" s="208"/>
      <c r="J1" s="208"/>
      <c r="K1" s="208"/>
      <c r="L1" s="208"/>
      <c r="M1" s="208"/>
      <c r="N1" s="208"/>
      <c r="O1" s="208"/>
    </row>
    <row r="2" spans="1:15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208"/>
      <c r="J2" s="208"/>
      <c r="K2" s="208"/>
      <c r="L2" s="208"/>
      <c r="M2" s="208"/>
      <c r="N2" s="208"/>
      <c r="O2" s="208"/>
    </row>
    <row r="3" spans="1:15" x14ac:dyDescent="0.25">
      <c r="A3" s="207" t="s">
        <v>1520</v>
      </c>
      <c r="B3" s="207"/>
      <c r="C3" s="207"/>
      <c r="D3" s="207"/>
      <c r="E3" s="207"/>
      <c r="F3" s="207"/>
      <c r="G3" s="207"/>
      <c r="H3" s="207"/>
      <c r="I3" s="208"/>
      <c r="J3" s="208"/>
      <c r="K3" s="208"/>
      <c r="L3" s="208"/>
      <c r="M3" s="208"/>
      <c r="N3" s="208"/>
      <c r="O3" s="208"/>
    </row>
    <row r="4" spans="1:15" ht="16.5" thickBot="1" x14ac:dyDescent="0.3">
      <c r="A4" s="207" t="s">
        <v>1</v>
      </c>
      <c r="B4" s="207"/>
      <c r="C4" s="207"/>
      <c r="D4" s="207"/>
      <c r="E4" s="207"/>
      <c r="F4" s="207"/>
      <c r="G4" s="207"/>
      <c r="H4" s="207"/>
      <c r="I4" s="208"/>
      <c r="J4" s="208"/>
      <c r="K4" s="208"/>
      <c r="L4" s="208"/>
      <c r="M4" s="208"/>
      <c r="N4" s="208"/>
      <c r="O4" s="208"/>
    </row>
    <row r="5" spans="1:15" ht="19.5" thickBot="1" x14ac:dyDescent="0.3">
      <c r="A5" s="207" t="s">
        <v>485</v>
      </c>
      <c r="B5" s="207"/>
      <c r="C5" s="249">
        <f>G238</f>
        <v>19107000</v>
      </c>
      <c r="D5" s="340">
        <f>H238</f>
        <v>32393.530448935308</v>
      </c>
      <c r="E5" s="207"/>
      <c r="F5" s="207"/>
      <c r="G5" s="207"/>
      <c r="H5" s="207"/>
      <c r="I5" s="208"/>
      <c r="J5" s="208"/>
      <c r="K5" s="208"/>
      <c r="L5" s="208"/>
      <c r="M5" s="208"/>
      <c r="N5" s="208"/>
      <c r="O5" s="208"/>
    </row>
    <row r="6" spans="1:15" ht="16.5" thickBot="1" x14ac:dyDescent="0.3">
      <c r="A6" s="207" t="s">
        <v>1539</v>
      </c>
      <c r="B6" s="207"/>
      <c r="C6" s="207"/>
      <c r="D6" s="207"/>
      <c r="E6" s="207"/>
      <c r="F6" s="207"/>
      <c r="G6" s="207"/>
      <c r="H6" s="207"/>
      <c r="I6" s="208"/>
      <c r="J6" s="208"/>
      <c r="K6" s="208"/>
      <c r="L6" s="208"/>
      <c r="M6" s="208"/>
      <c r="N6" s="208"/>
      <c r="O6" s="208"/>
    </row>
    <row r="7" spans="1:15" ht="17.25" customHeight="1" thickBot="1" x14ac:dyDescent="0.3">
      <c r="A7" s="773" t="s">
        <v>3</v>
      </c>
      <c r="B7" s="774"/>
      <c r="C7" s="774"/>
      <c r="D7" s="774"/>
      <c r="E7" s="774"/>
      <c r="F7" s="774"/>
      <c r="G7" s="570"/>
      <c r="H7" s="571"/>
      <c r="I7" s="535" t="s">
        <v>4</v>
      </c>
      <c r="J7" s="534"/>
      <c r="K7" s="535"/>
      <c r="L7" s="535"/>
      <c r="M7" s="535"/>
      <c r="N7" s="536"/>
      <c r="O7" s="775" t="s">
        <v>5</v>
      </c>
    </row>
    <row r="8" spans="1:15" ht="41.25" thickBot="1" x14ac:dyDescent="0.3">
      <c r="A8" s="211" t="s">
        <v>1540</v>
      </c>
      <c r="B8" s="212" t="s">
        <v>1533</v>
      </c>
      <c r="C8" s="212" t="s">
        <v>8</v>
      </c>
      <c r="D8" s="213" t="s">
        <v>9</v>
      </c>
      <c r="E8" s="212" t="s">
        <v>10</v>
      </c>
      <c r="F8" s="213" t="s">
        <v>11</v>
      </c>
      <c r="G8" s="214" t="s">
        <v>12</v>
      </c>
      <c r="H8" s="579" t="s">
        <v>1532</v>
      </c>
      <c r="I8" s="695" t="s">
        <v>1613</v>
      </c>
      <c r="J8" s="696" t="s">
        <v>1624</v>
      </c>
      <c r="K8" s="10"/>
      <c r="L8" s="540" t="s">
        <v>14</v>
      </c>
      <c r="M8" s="540" t="s">
        <v>15</v>
      </c>
      <c r="N8" s="541" t="s">
        <v>16</v>
      </c>
      <c r="O8" s="776"/>
    </row>
    <row r="9" spans="1:15" ht="72.75" thickBot="1" x14ac:dyDescent="0.3">
      <c r="A9" s="14"/>
      <c r="B9" s="206" t="s">
        <v>428</v>
      </c>
      <c r="C9" s="589"/>
      <c r="D9" s="589"/>
      <c r="E9" s="589"/>
      <c r="F9" s="589"/>
      <c r="G9" s="538"/>
      <c r="H9" s="539"/>
      <c r="I9" s="10"/>
      <c r="J9" s="10"/>
      <c r="K9" s="10"/>
      <c r="L9" s="10"/>
      <c r="M9" s="10"/>
      <c r="N9" s="5"/>
      <c r="O9" s="519"/>
    </row>
    <row r="10" spans="1:15" ht="16.5" thickBot="1" x14ac:dyDescent="0.3">
      <c r="A10" s="186">
        <v>1</v>
      </c>
      <c r="B10" s="187" t="s">
        <v>881</v>
      </c>
      <c r="C10" s="221" t="s">
        <v>28</v>
      </c>
      <c r="D10" s="222">
        <v>4</v>
      </c>
      <c r="E10" s="221">
        <v>10</v>
      </c>
      <c r="F10" s="223">
        <v>7500</v>
      </c>
      <c r="G10" s="227">
        <f t="shared" ref="G10:G15" si="0">D10*E10*F10</f>
        <v>300000</v>
      </c>
      <c r="H10" s="347">
        <f>G10/589.84</f>
        <v>508.612505086125</v>
      </c>
      <c r="I10" s="642">
        <f>G10*0.03</f>
        <v>9000</v>
      </c>
      <c r="J10" s="642">
        <f>1600*D10</f>
        <v>6400</v>
      </c>
      <c r="K10" s="642">
        <f t="shared" ref="K10:K15" si="1">G10/D10</f>
        <v>75000</v>
      </c>
      <c r="L10" s="522"/>
      <c r="M10" s="522"/>
      <c r="N10" s="522"/>
      <c r="O10" s="572"/>
    </row>
    <row r="11" spans="1:15" x14ac:dyDescent="0.25">
      <c r="A11" s="188">
        <v>2</v>
      </c>
      <c r="B11" s="189" t="s">
        <v>882</v>
      </c>
      <c r="C11" s="225" t="s">
        <v>28</v>
      </c>
      <c r="D11" s="226">
        <v>2</v>
      </c>
      <c r="E11" s="221">
        <v>10</v>
      </c>
      <c r="F11" s="227">
        <v>3000</v>
      </c>
      <c r="G11" s="227">
        <f t="shared" si="0"/>
        <v>60000</v>
      </c>
      <c r="H11" s="268">
        <f t="shared" ref="H11:H15" si="2">G11/589.84</f>
        <v>101.722501017225</v>
      </c>
      <c r="I11" s="642">
        <f t="shared" ref="I11:I15" si="3">G11*0.03</f>
        <v>1800</v>
      </c>
      <c r="J11" s="642">
        <f>1050*D11</f>
        <v>2100</v>
      </c>
      <c r="K11" s="642">
        <f t="shared" si="1"/>
        <v>30000</v>
      </c>
      <c r="L11" s="522"/>
      <c r="M11" s="522"/>
      <c r="N11" s="522"/>
      <c r="O11" s="572"/>
    </row>
    <row r="12" spans="1:15" ht="28.5" x14ac:dyDescent="0.25">
      <c r="A12" s="188">
        <v>3</v>
      </c>
      <c r="B12" s="189" t="s">
        <v>962</v>
      </c>
      <c r="C12" s="225" t="s">
        <v>28</v>
      </c>
      <c r="D12" s="226">
        <v>1</v>
      </c>
      <c r="E12" s="221">
        <v>10</v>
      </c>
      <c r="F12" s="227">
        <v>7500</v>
      </c>
      <c r="G12" s="227">
        <f t="shared" si="0"/>
        <v>75000</v>
      </c>
      <c r="H12" s="268">
        <f t="shared" si="2"/>
        <v>127.15312627153125</v>
      </c>
      <c r="I12" s="642">
        <f t="shared" si="3"/>
        <v>2250</v>
      </c>
      <c r="J12" s="642">
        <f>1600*D12</f>
        <v>1600</v>
      </c>
      <c r="K12" s="642">
        <f t="shared" si="1"/>
        <v>75000</v>
      </c>
      <c r="L12" s="522"/>
      <c r="M12" s="522"/>
      <c r="N12" s="522"/>
      <c r="O12" s="572"/>
    </row>
    <row r="13" spans="1:15" x14ac:dyDescent="0.25">
      <c r="A13" s="188">
        <v>4</v>
      </c>
      <c r="B13" s="189" t="s">
        <v>1364</v>
      </c>
      <c r="C13" s="225" t="s">
        <v>28</v>
      </c>
      <c r="D13" s="226">
        <v>19</v>
      </c>
      <c r="E13" s="221">
        <v>7</v>
      </c>
      <c r="F13" s="227">
        <v>3000</v>
      </c>
      <c r="G13" s="227">
        <f t="shared" si="0"/>
        <v>399000</v>
      </c>
      <c r="H13" s="268">
        <f t="shared" si="2"/>
        <v>676.45463176454632</v>
      </c>
      <c r="I13" s="642">
        <f t="shared" si="3"/>
        <v>11970</v>
      </c>
      <c r="J13" s="642">
        <f>550*D13</f>
        <v>10450</v>
      </c>
      <c r="K13" s="642">
        <f t="shared" si="1"/>
        <v>21000</v>
      </c>
      <c r="L13" s="522"/>
      <c r="M13" s="522"/>
      <c r="N13" s="522"/>
      <c r="O13" s="572"/>
    </row>
    <row r="14" spans="1:15" ht="28.5" x14ac:dyDescent="0.25">
      <c r="A14" s="188">
        <v>5</v>
      </c>
      <c r="B14" s="189" t="s">
        <v>1342</v>
      </c>
      <c r="C14" s="225" t="s">
        <v>28</v>
      </c>
      <c r="D14" s="226">
        <v>1</v>
      </c>
      <c r="E14" s="221">
        <v>10</v>
      </c>
      <c r="F14" s="227">
        <v>8000</v>
      </c>
      <c r="G14" s="227">
        <f t="shared" si="0"/>
        <v>80000</v>
      </c>
      <c r="H14" s="268">
        <f t="shared" si="2"/>
        <v>135.6300013563</v>
      </c>
      <c r="I14" s="642">
        <f t="shared" si="3"/>
        <v>2400</v>
      </c>
      <c r="J14" s="642">
        <f>1600*D14</f>
        <v>1600</v>
      </c>
      <c r="K14" s="642">
        <f t="shared" si="1"/>
        <v>80000</v>
      </c>
      <c r="L14" s="522"/>
      <c r="M14" s="522"/>
      <c r="N14" s="522"/>
      <c r="O14" s="572"/>
    </row>
    <row r="15" spans="1:15" ht="16.5" thickBot="1" x14ac:dyDescent="0.3">
      <c r="A15" s="188">
        <v>6</v>
      </c>
      <c r="B15" s="189" t="s">
        <v>883</v>
      </c>
      <c r="C15" s="225" t="s">
        <v>28</v>
      </c>
      <c r="D15" s="226">
        <v>1</v>
      </c>
      <c r="E15" s="221">
        <v>10</v>
      </c>
      <c r="F15" s="25">
        <v>8000</v>
      </c>
      <c r="G15" s="227">
        <f t="shared" si="0"/>
        <v>80000</v>
      </c>
      <c r="H15" s="268">
        <f t="shared" si="2"/>
        <v>135.6300013563</v>
      </c>
      <c r="I15" s="642">
        <f t="shared" si="3"/>
        <v>2400</v>
      </c>
      <c r="J15" s="642">
        <f>1600*D15</f>
        <v>1600</v>
      </c>
      <c r="K15" s="642">
        <f t="shared" si="1"/>
        <v>80000</v>
      </c>
      <c r="L15" s="522"/>
      <c r="M15" s="522"/>
      <c r="N15" s="522"/>
      <c r="O15" s="572"/>
    </row>
    <row r="16" spans="1:15" ht="18.75" thickBot="1" x14ac:dyDescent="0.3">
      <c r="A16" s="341"/>
      <c r="B16" s="342" t="s">
        <v>1399</v>
      </c>
      <c r="C16" s="343"/>
      <c r="D16" s="343"/>
      <c r="E16" s="343"/>
      <c r="F16" s="344"/>
      <c r="G16" s="344">
        <f>SUM(G10:G15)</f>
        <v>994000</v>
      </c>
      <c r="H16" s="345">
        <f>SUM(H10:H15)</f>
        <v>1685.2027668520277</v>
      </c>
      <c r="I16" s="263">
        <f>SUM(I10:I15)</f>
        <v>29820</v>
      </c>
      <c r="J16" s="263">
        <f>SUM(J10:J15)</f>
        <v>23750</v>
      </c>
      <c r="K16" s="12"/>
      <c r="L16" s="522"/>
      <c r="M16" s="522"/>
      <c r="N16" s="522"/>
      <c r="O16" s="572"/>
    </row>
    <row r="17" spans="1:15" ht="16.5" thickBot="1" x14ac:dyDescent="0.3">
      <c r="A17" s="188">
        <v>1</v>
      </c>
      <c r="B17" s="189" t="s">
        <v>884</v>
      </c>
      <c r="C17" s="225" t="s">
        <v>28</v>
      </c>
      <c r="D17" s="226">
        <v>2</v>
      </c>
      <c r="E17" s="221">
        <v>10</v>
      </c>
      <c r="F17" s="227">
        <v>7500</v>
      </c>
      <c r="G17" s="227">
        <f t="shared" ref="G17:G22" si="4">D17*E17*F17</f>
        <v>150000</v>
      </c>
      <c r="H17" s="347">
        <f>G17/589.84</f>
        <v>254.3062525430625</v>
      </c>
      <c r="I17" s="689">
        <f t="shared" ref="I17:I22" si="5">G17*0.03</f>
        <v>4500</v>
      </c>
      <c r="J17" s="642">
        <f>1600*D17</f>
        <v>3200</v>
      </c>
      <c r="K17" s="642">
        <f t="shared" ref="K17:K22" si="6">G17/D17</f>
        <v>75000</v>
      </c>
      <c r="L17" s="522"/>
      <c r="M17" s="522"/>
      <c r="N17" s="522"/>
      <c r="O17" s="572"/>
    </row>
    <row r="18" spans="1:15" x14ac:dyDescent="0.25">
      <c r="A18" s="188">
        <v>2</v>
      </c>
      <c r="B18" s="189" t="s">
        <v>885</v>
      </c>
      <c r="C18" s="225" t="s">
        <v>28</v>
      </c>
      <c r="D18" s="226">
        <v>1</v>
      </c>
      <c r="E18" s="221">
        <v>10</v>
      </c>
      <c r="F18" s="227">
        <v>3000</v>
      </c>
      <c r="G18" s="227">
        <f t="shared" si="4"/>
        <v>30000</v>
      </c>
      <c r="H18" s="268">
        <f t="shared" ref="H18:H22" si="7">G18/589.84</f>
        <v>50.8612505086125</v>
      </c>
      <c r="I18" s="642">
        <f t="shared" si="5"/>
        <v>900</v>
      </c>
      <c r="J18" s="642">
        <f>1050*D18</f>
        <v>1050</v>
      </c>
      <c r="K18" s="642">
        <f t="shared" si="6"/>
        <v>30000</v>
      </c>
      <c r="L18" s="522"/>
      <c r="M18" s="522"/>
      <c r="N18" s="522"/>
      <c r="O18" s="572"/>
    </row>
    <row r="19" spans="1:15" ht="28.5" x14ac:dyDescent="0.25">
      <c r="A19" s="188">
        <v>3</v>
      </c>
      <c r="B19" s="189" t="s">
        <v>886</v>
      </c>
      <c r="C19" s="225" t="s">
        <v>28</v>
      </c>
      <c r="D19" s="226">
        <v>1</v>
      </c>
      <c r="E19" s="221">
        <v>10</v>
      </c>
      <c r="F19" s="227">
        <v>7500</v>
      </c>
      <c r="G19" s="227">
        <f t="shared" si="4"/>
        <v>75000</v>
      </c>
      <c r="H19" s="268">
        <f t="shared" si="7"/>
        <v>127.15312627153125</v>
      </c>
      <c r="I19" s="642">
        <f t="shared" si="5"/>
        <v>2250</v>
      </c>
      <c r="J19" s="642">
        <f>1600*D19</f>
        <v>1600</v>
      </c>
      <c r="K19" s="642">
        <f t="shared" si="6"/>
        <v>75000</v>
      </c>
      <c r="L19" s="522"/>
      <c r="M19" s="522"/>
      <c r="N19" s="522"/>
      <c r="O19" s="572"/>
    </row>
    <row r="20" spans="1:15" x14ac:dyDescent="0.25">
      <c r="A20" s="188">
        <v>4</v>
      </c>
      <c r="B20" s="189" t="s">
        <v>1364</v>
      </c>
      <c r="C20" s="225" t="s">
        <v>28</v>
      </c>
      <c r="D20" s="226">
        <v>7</v>
      </c>
      <c r="E20" s="221">
        <v>7</v>
      </c>
      <c r="F20" s="227">
        <v>3000</v>
      </c>
      <c r="G20" s="227">
        <f t="shared" si="4"/>
        <v>147000</v>
      </c>
      <c r="H20" s="268">
        <f t="shared" ref="H20" si="8">G20/589.84</f>
        <v>249.22012749220127</v>
      </c>
      <c r="I20" s="642">
        <f t="shared" si="5"/>
        <v>4410</v>
      </c>
      <c r="J20" s="642">
        <f>550*D20</f>
        <v>3850</v>
      </c>
      <c r="K20" s="642">
        <f t="shared" si="6"/>
        <v>21000</v>
      </c>
      <c r="L20" s="522"/>
      <c r="M20" s="522"/>
      <c r="N20" s="522"/>
      <c r="O20" s="572"/>
    </row>
    <row r="21" spans="1:15" x14ac:dyDescent="0.25">
      <c r="A21" s="188">
        <v>5</v>
      </c>
      <c r="B21" s="189" t="s">
        <v>1343</v>
      </c>
      <c r="C21" s="225" t="s">
        <v>28</v>
      </c>
      <c r="D21" s="226">
        <v>1</v>
      </c>
      <c r="E21" s="221">
        <v>10</v>
      </c>
      <c r="F21" s="227">
        <v>8000</v>
      </c>
      <c r="G21" s="227">
        <f t="shared" si="4"/>
        <v>80000</v>
      </c>
      <c r="H21" s="268">
        <f t="shared" si="7"/>
        <v>135.6300013563</v>
      </c>
      <c r="I21" s="642">
        <f t="shared" si="5"/>
        <v>2400</v>
      </c>
      <c r="J21" s="642">
        <f>1600*D21</f>
        <v>1600</v>
      </c>
      <c r="K21" s="642">
        <f t="shared" si="6"/>
        <v>80000</v>
      </c>
      <c r="L21" s="522"/>
      <c r="M21" s="522"/>
      <c r="N21" s="522"/>
      <c r="O21" s="572"/>
    </row>
    <row r="22" spans="1:15" ht="16.5" thickBot="1" x14ac:dyDescent="0.3">
      <c r="A22" s="188">
        <v>6</v>
      </c>
      <c r="B22" s="189" t="s">
        <v>887</v>
      </c>
      <c r="C22" s="225" t="s">
        <v>28</v>
      </c>
      <c r="D22" s="226">
        <v>1</v>
      </c>
      <c r="E22" s="221">
        <v>10</v>
      </c>
      <c r="F22" s="25">
        <v>8000</v>
      </c>
      <c r="G22" s="227">
        <f t="shared" si="4"/>
        <v>80000</v>
      </c>
      <c r="H22" s="268">
        <f t="shared" si="7"/>
        <v>135.6300013563</v>
      </c>
      <c r="I22" s="642">
        <f t="shared" si="5"/>
        <v>2400</v>
      </c>
      <c r="J22" s="642">
        <f>1600*D22</f>
        <v>1600</v>
      </c>
      <c r="K22" s="642">
        <f t="shared" si="6"/>
        <v>80000</v>
      </c>
      <c r="L22" s="522"/>
      <c r="M22" s="522"/>
      <c r="N22" s="522"/>
      <c r="O22" s="572"/>
    </row>
    <row r="23" spans="1:15" ht="18.75" thickBot="1" x14ac:dyDescent="0.3">
      <c r="A23" s="341"/>
      <c r="B23" s="342" t="s">
        <v>1399</v>
      </c>
      <c r="C23" s="343"/>
      <c r="D23" s="343"/>
      <c r="E23" s="343"/>
      <c r="F23" s="344"/>
      <c r="G23" s="344">
        <f>SUM(G17:G22)</f>
        <v>562000</v>
      </c>
      <c r="H23" s="345">
        <f>SUM(H17:H22)</f>
        <v>952.80075952800757</v>
      </c>
      <c r="I23" s="263">
        <f>SUM(I17:I22)</f>
        <v>16860</v>
      </c>
      <c r="J23" s="263">
        <f>SUM(J17:J22)</f>
        <v>12900</v>
      </c>
      <c r="K23" s="12"/>
      <c r="L23" s="522"/>
      <c r="M23" s="522"/>
      <c r="N23" s="522"/>
      <c r="O23" s="572"/>
    </row>
    <row r="24" spans="1:15" ht="16.5" thickBot="1" x14ac:dyDescent="0.3">
      <c r="A24" s="188">
        <v>1</v>
      </c>
      <c r="B24" s="189" t="s">
        <v>888</v>
      </c>
      <c r="C24" s="225" t="s">
        <v>28</v>
      </c>
      <c r="D24" s="226">
        <v>2</v>
      </c>
      <c r="E24" s="221">
        <v>10</v>
      </c>
      <c r="F24" s="227">
        <v>7500</v>
      </c>
      <c r="G24" s="227">
        <f t="shared" ref="G24:G29" si="9">D24*E24*F24</f>
        <v>150000</v>
      </c>
      <c r="H24" s="347">
        <f>G24/589.84</f>
        <v>254.3062525430625</v>
      </c>
      <c r="I24" s="642">
        <f t="shared" ref="I24:I29" si="10">G24*0.03</f>
        <v>4500</v>
      </c>
      <c r="J24" s="642">
        <f>1600*D24</f>
        <v>3200</v>
      </c>
      <c r="K24" s="642">
        <f t="shared" ref="K24:K29" si="11">G24/D24</f>
        <v>75000</v>
      </c>
      <c r="L24" s="522"/>
      <c r="M24" s="522"/>
      <c r="N24" s="522"/>
      <c r="O24" s="572"/>
    </row>
    <row r="25" spans="1:15" x14ac:dyDescent="0.25">
      <c r="A25" s="188">
        <v>2</v>
      </c>
      <c r="B25" s="189" t="s">
        <v>889</v>
      </c>
      <c r="C25" s="225" t="s">
        <v>28</v>
      </c>
      <c r="D25" s="226">
        <v>1</v>
      </c>
      <c r="E25" s="221">
        <v>10</v>
      </c>
      <c r="F25" s="227">
        <v>3000</v>
      </c>
      <c r="G25" s="227">
        <f t="shared" si="9"/>
        <v>30000</v>
      </c>
      <c r="H25" s="268">
        <f t="shared" ref="H25:H29" si="12">G25/589.84</f>
        <v>50.8612505086125</v>
      </c>
      <c r="I25" s="642">
        <f t="shared" si="10"/>
        <v>900</v>
      </c>
      <c r="J25" s="642">
        <f>1050*D25</f>
        <v>1050</v>
      </c>
      <c r="K25" s="642">
        <f t="shared" si="11"/>
        <v>30000</v>
      </c>
      <c r="L25" s="522"/>
      <c r="M25" s="522"/>
      <c r="N25" s="522"/>
      <c r="O25" s="572"/>
    </row>
    <row r="26" spans="1:15" ht="28.5" x14ac:dyDescent="0.25">
      <c r="A26" s="188">
        <v>3</v>
      </c>
      <c r="B26" s="189" t="s">
        <v>890</v>
      </c>
      <c r="C26" s="225" t="s">
        <v>28</v>
      </c>
      <c r="D26" s="226">
        <v>1</v>
      </c>
      <c r="E26" s="221">
        <v>10</v>
      </c>
      <c r="F26" s="227">
        <v>7500</v>
      </c>
      <c r="G26" s="227">
        <f t="shared" si="9"/>
        <v>75000</v>
      </c>
      <c r="H26" s="268">
        <f t="shared" si="12"/>
        <v>127.15312627153125</v>
      </c>
      <c r="I26" s="642">
        <f t="shared" si="10"/>
        <v>2250</v>
      </c>
      <c r="J26" s="642">
        <f>1600*D26</f>
        <v>1600</v>
      </c>
      <c r="K26" s="642">
        <f t="shared" si="11"/>
        <v>75000</v>
      </c>
      <c r="L26" s="522"/>
      <c r="M26" s="522"/>
      <c r="N26" s="522"/>
      <c r="O26" s="572"/>
    </row>
    <row r="27" spans="1:15" x14ac:dyDescent="0.25">
      <c r="A27" s="188">
        <v>4</v>
      </c>
      <c r="B27" s="189" t="s">
        <v>1364</v>
      </c>
      <c r="C27" s="225" t="s">
        <v>28</v>
      </c>
      <c r="D27" s="226">
        <v>1</v>
      </c>
      <c r="E27" s="221">
        <v>7</v>
      </c>
      <c r="F27" s="227">
        <v>3000</v>
      </c>
      <c r="G27" s="227">
        <f t="shared" si="9"/>
        <v>21000</v>
      </c>
      <c r="H27" s="268">
        <f t="shared" ref="H27" si="13">G27/589.84</f>
        <v>35.602875356028754</v>
      </c>
      <c r="I27" s="642">
        <f t="shared" si="10"/>
        <v>630</v>
      </c>
      <c r="J27" s="642">
        <f>550*D27</f>
        <v>550</v>
      </c>
      <c r="K27" s="642">
        <f t="shared" si="11"/>
        <v>21000</v>
      </c>
      <c r="L27" s="522"/>
      <c r="M27" s="522"/>
      <c r="N27" s="522"/>
      <c r="O27" s="572"/>
    </row>
    <row r="28" spans="1:15" x14ac:dyDescent="0.25">
      <c r="A28" s="188">
        <v>5</v>
      </c>
      <c r="B28" s="189" t="s">
        <v>1343</v>
      </c>
      <c r="C28" s="225" t="s">
        <v>28</v>
      </c>
      <c r="D28" s="226">
        <v>1</v>
      </c>
      <c r="E28" s="221">
        <v>10</v>
      </c>
      <c r="F28" s="227">
        <v>8000</v>
      </c>
      <c r="G28" s="227">
        <f t="shared" si="9"/>
        <v>80000</v>
      </c>
      <c r="H28" s="268">
        <f t="shared" ref="H28" si="14">G28/589.84</f>
        <v>135.6300013563</v>
      </c>
      <c r="I28" s="642">
        <f t="shared" si="10"/>
        <v>2400</v>
      </c>
      <c r="J28" s="642">
        <f>1600*D28</f>
        <v>1600</v>
      </c>
      <c r="K28" s="642">
        <f t="shared" si="11"/>
        <v>80000</v>
      </c>
      <c r="L28" s="522"/>
      <c r="M28" s="522"/>
      <c r="N28" s="522"/>
      <c r="O28" s="572"/>
    </row>
    <row r="29" spans="1:15" ht="16.5" thickBot="1" x14ac:dyDescent="0.3">
      <c r="A29" s="188">
        <v>6</v>
      </c>
      <c r="B29" s="189" t="s">
        <v>891</v>
      </c>
      <c r="C29" s="225" t="s">
        <v>28</v>
      </c>
      <c r="D29" s="226">
        <v>1</v>
      </c>
      <c r="E29" s="221">
        <v>10</v>
      </c>
      <c r="F29" s="25">
        <v>8000</v>
      </c>
      <c r="G29" s="227">
        <f t="shared" si="9"/>
        <v>80000</v>
      </c>
      <c r="H29" s="268">
        <f t="shared" si="12"/>
        <v>135.6300013563</v>
      </c>
      <c r="I29" s="642">
        <f t="shared" si="10"/>
        <v>2400</v>
      </c>
      <c r="J29" s="642">
        <f>1600*D29</f>
        <v>1600</v>
      </c>
      <c r="K29" s="642">
        <f t="shared" si="11"/>
        <v>80000</v>
      </c>
      <c r="L29" s="522"/>
      <c r="M29" s="522"/>
      <c r="N29" s="522"/>
      <c r="O29" s="572"/>
    </row>
    <row r="30" spans="1:15" ht="18.75" thickBot="1" x14ac:dyDescent="0.3">
      <c r="A30" s="341"/>
      <c r="B30" s="342" t="s">
        <v>1399</v>
      </c>
      <c r="C30" s="343"/>
      <c r="D30" s="343"/>
      <c r="E30" s="343"/>
      <c r="F30" s="344"/>
      <c r="G30" s="344">
        <f>SUM(G24:G29)</f>
        <v>436000</v>
      </c>
      <c r="H30" s="345">
        <f>SUM(H24:H29)</f>
        <v>739.18350739183506</v>
      </c>
      <c r="I30" s="263">
        <f>SUM(I24:I29)</f>
        <v>13080</v>
      </c>
      <c r="J30" s="263">
        <f>SUM(J24:J29)</f>
        <v>9600</v>
      </c>
      <c r="K30" s="12"/>
      <c r="L30" s="522"/>
      <c r="M30" s="522"/>
      <c r="N30" s="522"/>
      <c r="O30" s="572"/>
    </row>
    <row r="31" spans="1:15" ht="16.5" thickBot="1" x14ac:dyDescent="0.3">
      <c r="A31" s="188">
        <v>1</v>
      </c>
      <c r="B31" s="189" t="s">
        <v>892</v>
      </c>
      <c r="C31" s="225" t="s">
        <v>28</v>
      </c>
      <c r="D31" s="226">
        <v>2</v>
      </c>
      <c r="E31" s="221">
        <v>10</v>
      </c>
      <c r="F31" s="227">
        <v>7500</v>
      </c>
      <c r="G31" s="227">
        <f t="shared" ref="G31:G36" si="15">D31*E31*F31</f>
        <v>150000</v>
      </c>
      <c r="H31" s="347">
        <f>G31/589.84</f>
        <v>254.3062525430625</v>
      </c>
      <c r="I31" s="642">
        <f t="shared" ref="I31:I36" si="16">G31*0.03</f>
        <v>4500</v>
      </c>
      <c r="J31" s="642">
        <f>1600*D31</f>
        <v>3200</v>
      </c>
      <c r="K31" s="642">
        <f t="shared" ref="K31:K36" si="17">G31/D31</f>
        <v>75000</v>
      </c>
      <c r="L31" s="522"/>
      <c r="M31" s="522"/>
      <c r="N31" s="522"/>
      <c r="O31" s="572"/>
    </row>
    <row r="32" spans="1:15" x14ac:dyDescent="0.25">
      <c r="A32" s="188">
        <v>2</v>
      </c>
      <c r="B32" s="189" t="s">
        <v>893</v>
      </c>
      <c r="C32" s="225" t="s">
        <v>28</v>
      </c>
      <c r="D32" s="226">
        <v>1</v>
      </c>
      <c r="E32" s="221">
        <v>10</v>
      </c>
      <c r="F32" s="227">
        <v>3000</v>
      </c>
      <c r="G32" s="227">
        <f t="shared" si="15"/>
        <v>30000</v>
      </c>
      <c r="H32" s="268">
        <f t="shared" ref="H32:H36" si="18">G32/589.84</f>
        <v>50.8612505086125</v>
      </c>
      <c r="I32" s="642">
        <f t="shared" si="16"/>
        <v>900</v>
      </c>
      <c r="J32" s="642">
        <f>1050*D32</f>
        <v>1050</v>
      </c>
      <c r="K32" s="642">
        <f t="shared" si="17"/>
        <v>30000</v>
      </c>
      <c r="L32" s="522"/>
      <c r="M32" s="522"/>
      <c r="N32" s="522"/>
      <c r="O32" s="572"/>
    </row>
    <row r="33" spans="1:15" ht="28.5" x14ac:dyDescent="0.25">
      <c r="A33" s="188">
        <v>3</v>
      </c>
      <c r="B33" s="189" t="s">
        <v>894</v>
      </c>
      <c r="C33" s="225" t="s">
        <v>28</v>
      </c>
      <c r="D33" s="226">
        <v>1</v>
      </c>
      <c r="E33" s="221">
        <v>10</v>
      </c>
      <c r="F33" s="227">
        <v>7500</v>
      </c>
      <c r="G33" s="227">
        <f t="shared" si="15"/>
        <v>75000</v>
      </c>
      <c r="H33" s="268">
        <f t="shared" si="18"/>
        <v>127.15312627153125</v>
      </c>
      <c r="I33" s="642">
        <f t="shared" si="16"/>
        <v>2250</v>
      </c>
      <c r="J33" s="642">
        <f>1600*D33</f>
        <v>1600</v>
      </c>
      <c r="K33" s="642">
        <f t="shared" si="17"/>
        <v>75000</v>
      </c>
      <c r="L33" s="522"/>
      <c r="M33" s="522"/>
      <c r="N33" s="522"/>
      <c r="O33" s="572"/>
    </row>
    <row r="34" spans="1:15" x14ac:dyDescent="0.25">
      <c r="A34" s="188">
        <v>4</v>
      </c>
      <c r="B34" s="189" t="s">
        <v>1364</v>
      </c>
      <c r="C34" s="225" t="s">
        <v>28</v>
      </c>
      <c r="D34" s="226">
        <v>6</v>
      </c>
      <c r="E34" s="221">
        <v>7</v>
      </c>
      <c r="F34" s="227">
        <v>3000</v>
      </c>
      <c r="G34" s="227">
        <f t="shared" si="15"/>
        <v>126000</v>
      </c>
      <c r="H34" s="268">
        <f t="shared" si="18"/>
        <v>213.61725213617251</v>
      </c>
      <c r="I34" s="642">
        <f t="shared" si="16"/>
        <v>3780</v>
      </c>
      <c r="J34" s="642">
        <f>550*D34</f>
        <v>3300</v>
      </c>
      <c r="K34" s="642">
        <f t="shared" si="17"/>
        <v>21000</v>
      </c>
      <c r="L34" s="522"/>
      <c r="M34" s="522"/>
      <c r="N34" s="522"/>
      <c r="O34" s="572"/>
    </row>
    <row r="35" spans="1:15" x14ac:dyDescent="0.25">
      <c r="A35" s="188">
        <v>5</v>
      </c>
      <c r="B35" s="189" t="s">
        <v>1343</v>
      </c>
      <c r="C35" s="225" t="s">
        <v>28</v>
      </c>
      <c r="D35" s="226">
        <v>1</v>
      </c>
      <c r="E35" s="221">
        <v>10</v>
      </c>
      <c r="F35" s="227">
        <v>8000</v>
      </c>
      <c r="G35" s="227">
        <f t="shared" si="15"/>
        <v>80000</v>
      </c>
      <c r="H35" s="268">
        <f t="shared" ref="H35" si="19">G35/589.84</f>
        <v>135.6300013563</v>
      </c>
      <c r="I35" s="642">
        <f t="shared" si="16"/>
        <v>2400</v>
      </c>
      <c r="J35" s="642">
        <f>1600*D35</f>
        <v>1600</v>
      </c>
      <c r="K35" s="642">
        <f t="shared" si="17"/>
        <v>80000</v>
      </c>
      <c r="L35" s="522"/>
      <c r="M35" s="522"/>
      <c r="N35" s="522"/>
      <c r="O35" s="572"/>
    </row>
    <row r="36" spans="1:15" ht="16.5" thickBot="1" x14ac:dyDescent="0.3">
      <c r="A36" s="188">
        <v>6</v>
      </c>
      <c r="B36" s="189" t="s">
        <v>895</v>
      </c>
      <c r="C36" s="225" t="s">
        <v>28</v>
      </c>
      <c r="D36" s="226">
        <v>1</v>
      </c>
      <c r="E36" s="221">
        <v>10</v>
      </c>
      <c r="F36" s="25">
        <v>8000</v>
      </c>
      <c r="G36" s="227">
        <f t="shared" si="15"/>
        <v>80000</v>
      </c>
      <c r="H36" s="268">
        <f t="shared" si="18"/>
        <v>135.6300013563</v>
      </c>
      <c r="I36" s="642">
        <f t="shared" si="16"/>
        <v>2400</v>
      </c>
      <c r="J36" s="642">
        <f>1600*D36</f>
        <v>1600</v>
      </c>
      <c r="K36" s="642">
        <f t="shared" si="17"/>
        <v>80000</v>
      </c>
      <c r="L36" s="522"/>
      <c r="M36" s="522"/>
      <c r="N36" s="522"/>
      <c r="O36" s="572"/>
    </row>
    <row r="37" spans="1:15" ht="18.75" thickBot="1" x14ac:dyDescent="0.3">
      <c r="A37" s="341"/>
      <c r="B37" s="342" t="s">
        <v>1399</v>
      </c>
      <c r="C37" s="343"/>
      <c r="D37" s="343"/>
      <c r="E37" s="343"/>
      <c r="F37" s="344"/>
      <c r="G37" s="344">
        <f>SUM(G31:G36)</f>
        <v>541000</v>
      </c>
      <c r="H37" s="345">
        <f>SUM(H31:H36)</f>
        <v>917.19788417197879</v>
      </c>
      <c r="I37" s="263">
        <f t="shared" ref="I37" si="20">SUM(I31:I36)</f>
        <v>16230</v>
      </c>
      <c r="J37" s="263">
        <f>SUM(J31:J36)</f>
        <v>12350</v>
      </c>
      <c r="K37" s="12"/>
      <c r="L37" s="522"/>
      <c r="M37" s="522"/>
      <c r="N37" s="522"/>
      <c r="O37" s="572"/>
    </row>
    <row r="38" spans="1:15" ht="16.5" thickBot="1" x14ac:dyDescent="0.3">
      <c r="A38" s="188">
        <v>1</v>
      </c>
      <c r="B38" s="189" t="s">
        <v>896</v>
      </c>
      <c r="C38" s="225" t="s">
        <v>28</v>
      </c>
      <c r="D38" s="226">
        <v>2</v>
      </c>
      <c r="E38" s="221">
        <v>10</v>
      </c>
      <c r="F38" s="227">
        <v>7500</v>
      </c>
      <c r="G38" s="227">
        <f t="shared" ref="G38:G43" si="21">D38*E38*F38</f>
        <v>150000</v>
      </c>
      <c r="H38" s="347">
        <f>G38/589.84</f>
        <v>254.3062525430625</v>
      </c>
      <c r="I38" s="642">
        <f t="shared" ref="I38:I43" si="22">G38*0.03</f>
        <v>4500</v>
      </c>
      <c r="J38" s="642">
        <f>1600*D38</f>
        <v>3200</v>
      </c>
      <c r="K38" s="642">
        <f t="shared" ref="K38:K43" si="23">G38/D38</f>
        <v>75000</v>
      </c>
      <c r="L38" s="522"/>
      <c r="M38" s="522"/>
      <c r="N38" s="522"/>
      <c r="O38" s="572"/>
    </row>
    <row r="39" spans="1:15" x14ac:dyDescent="0.25">
      <c r="A39" s="188">
        <v>2</v>
      </c>
      <c r="B39" s="189" t="s">
        <v>897</v>
      </c>
      <c r="C39" s="225" t="s">
        <v>28</v>
      </c>
      <c r="D39" s="226">
        <v>1</v>
      </c>
      <c r="E39" s="221">
        <v>10</v>
      </c>
      <c r="F39" s="227">
        <v>3000</v>
      </c>
      <c r="G39" s="227">
        <f t="shared" si="21"/>
        <v>30000</v>
      </c>
      <c r="H39" s="268">
        <f t="shared" ref="H39:H43" si="24">G39/589.84</f>
        <v>50.8612505086125</v>
      </c>
      <c r="I39" s="642">
        <f t="shared" si="22"/>
        <v>900</v>
      </c>
      <c r="J39" s="642">
        <f>1050*D39</f>
        <v>1050</v>
      </c>
      <c r="K39" s="642">
        <f t="shared" si="23"/>
        <v>30000</v>
      </c>
      <c r="L39" s="522"/>
      <c r="M39" s="522"/>
      <c r="N39" s="522"/>
      <c r="O39" s="572"/>
    </row>
    <row r="40" spans="1:15" ht="28.5" x14ac:dyDescent="0.25">
      <c r="A40" s="188">
        <v>3</v>
      </c>
      <c r="B40" s="189" t="s">
        <v>898</v>
      </c>
      <c r="C40" s="225" t="s">
        <v>28</v>
      </c>
      <c r="D40" s="226">
        <v>1</v>
      </c>
      <c r="E40" s="221">
        <v>10</v>
      </c>
      <c r="F40" s="227">
        <v>7500</v>
      </c>
      <c r="G40" s="227">
        <f t="shared" si="21"/>
        <v>75000</v>
      </c>
      <c r="H40" s="268">
        <f t="shared" si="24"/>
        <v>127.15312627153125</v>
      </c>
      <c r="I40" s="642">
        <f t="shared" si="22"/>
        <v>2250</v>
      </c>
      <c r="J40" s="642">
        <f>1600*D40</f>
        <v>1600</v>
      </c>
      <c r="K40" s="642">
        <f t="shared" si="23"/>
        <v>75000</v>
      </c>
      <c r="L40" s="522"/>
      <c r="M40" s="522"/>
      <c r="N40" s="522"/>
      <c r="O40" s="572"/>
    </row>
    <row r="41" spans="1:15" x14ac:dyDescent="0.25">
      <c r="A41" s="188">
        <v>4</v>
      </c>
      <c r="B41" s="189" t="s">
        <v>1364</v>
      </c>
      <c r="C41" s="225" t="s">
        <v>28</v>
      </c>
      <c r="D41" s="226">
        <v>9</v>
      </c>
      <c r="E41" s="221">
        <v>7</v>
      </c>
      <c r="F41" s="227">
        <v>3000</v>
      </c>
      <c r="G41" s="227">
        <f t="shared" si="21"/>
        <v>189000</v>
      </c>
      <c r="H41" s="268">
        <f t="shared" si="24"/>
        <v>320.42587820425877</v>
      </c>
      <c r="I41" s="642">
        <f t="shared" si="22"/>
        <v>5670</v>
      </c>
      <c r="J41" s="642">
        <f>550*D41</f>
        <v>4950</v>
      </c>
      <c r="K41" s="642">
        <f t="shared" si="23"/>
        <v>21000</v>
      </c>
      <c r="L41" s="522"/>
      <c r="M41" s="522"/>
      <c r="N41" s="522"/>
      <c r="O41" s="572"/>
    </row>
    <row r="42" spans="1:15" x14ac:dyDescent="0.25">
      <c r="A42" s="188">
        <v>5</v>
      </c>
      <c r="B42" s="189" t="s">
        <v>1343</v>
      </c>
      <c r="C42" s="225" t="s">
        <v>28</v>
      </c>
      <c r="D42" s="226">
        <v>1</v>
      </c>
      <c r="E42" s="221">
        <v>10</v>
      </c>
      <c r="F42" s="227">
        <v>8000</v>
      </c>
      <c r="G42" s="227">
        <f t="shared" si="21"/>
        <v>80000</v>
      </c>
      <c r="H42" s="268">
        <f t="shared" ref="H42" si="25">G42/589.84</f>
        <v>135.6300013563</v>
      </c>
      <c r="I42" s="642">
        <f t="shared" si="22"/>
        <v>2400</v>
      </c>
      <c r="J42" s="642">
        <f>1600*D42</f>
        <v>1600</v>
      </c>
      <c r="K42" s="642">
        <f t="shared" si="23"/>
        <v>80000</v>
      </c>
      <c r="L42" s="522"/>
      <c r="M42" s="522"/>
      <c r="N42" s="522"/>
      <c r="O42" s="572"/>
    </row>
    <row r="43" spans="1:15" ht="16.5" thickBot="1" x14ac:dyDescent="0.3">
      <c r="A43" s="188">
        <v>6</v>
      </c>
      <c r="B43" s="189" t="s">
        <v>899</v>
      </c>
      <c r="C43" s="225" t="s">
        <v>28</v>
      </c>
      <c r="D43" s="226">
        <v>1</v>
      </c>
      <c r="E43" s="221">
        <v>10</v>
      </c>
      <c r="F43" s="25">
        <v>8000</v>
      </c>
      <c r="G43" s="227">
        <f t="shared" si="21"/>
        <v>80000</v>
      </c>
      <c r="H43" s="268">
        <f t="shared" si="24"/>
        <v>135.6300013563</v>
      </c>
      <c r="I43" s="642">
        <f t="shared" si="22"/>
        <v>2400</v>
      </c>
      <c r="J43" s="642">
        <f>1600*D43</f>
        <v>1600</v>
      </c>
      <c r="K43" s="642">
        <f t="shared" si="23"/>
        <v>80000</v>
      </c>
      <c r="L43" s="522"/>
      <c r="M43" s="522"/>
      <c r="N43" s="522"/>
      <c r="O43" s="572"/>
    </row>
    <row r="44" spans="1:15" ht="18.75" thickBot="1" x14ac:dyDescent="0.3">
      <c r="A44" s="341"/>
      <c r="B44" s="342" t="s">
        <v>1399</v>
      </c>
      <c r="C44" s="343"/>
      <c r="D44" s="343"/>
      <c r="E44" s="343"/>
      <c r="F44" s="344"/>
      <c r="G44" s="344">
        <f>SUM(G38:G43)</f>
        <v>604000</v>
      </c>
      <c r="H44" s="345">
        <f>SUM(H38:H43)</f>
        <v>1024.0065102400649</v>
      </c>
      <c r="I44" s="263">
        <f t="shared" ref="I44" si="26">SUM(I38:I43)</f>
        <v>18120</v>
      </c>
      <c r="J44" s="263">
        <f>SUM(J38:J43)</f>
        <v>14000</v>
      </c>
      <c r="K44" s="12"/>
      <c r="L44" s="522"/>
      <c r="M44" s="522"/>
      <c r="N44" s="522"/>
      <c r="O44" s="572"/>
    </row>
    <row r="45" spans="1:15" ht="16.5" thickBot="1" x14ac:dyDescent="0.3">
      <c r="A45" s="188">
        <v>1</v>
      </c>
      <c r="B45" s="189" t="s">
        <v>900</v>
      </c>
      <c r="C45" s="225" t="s">
        <v>28</v>
      </c>
      <c r="D45" s="226">
        <v>2</v>
      </c>
      <c r="E45" s="221">
        <v>10</v>
      </c>
      <c r="F45" s="227">
        <v>7500</v>
      </c>
      <c r="G45" s="227">
        <f t="shared" ref="G45:G50" si="27">D45*E45*F45</f>
        <v>150000</v>
      </c>
      <c r="H45" s="347">
        <f>G45/589.84</f>
        <v>254.3062525430625</v>
      </c>
      <c r="I45" s="642">
        <f t="shared" ref="I45:I50" si="28">G45*0.03</f>
        <v>4500</v>
      </c>
      <c r="J45" s="642">
        <f>1600*D45</f>
        <v>3200</v>
      </c>
      <c r="K45" s="642">
        <f t="shared" ref="K45:K50" si="29">G45/D45</f>
        <v>75000</v>
      </c>
      <c r="L45" s="522"/>
      <c r="M45" s="522"/>
      <c r="N45" s="522"/>
      <c r="O45" s="572"/>
    </row>
    <row r="46" spans="1:15" x14ac:dyDescent="0.25">
      <c r="A46" s="188">
        <v>2</v>
      </c>
      <c r="B46" s="189" t="s">
        <v>901</v>
      </c>
      <c r="C46" s="225" t="s">
        <v>28</v>
      </c>
      <c r="D46" s="226">
        <v>1</v>
      </c>
      <c r="E46" s="221">
        <v>10</v>
      </c>
      <c r="F46" s="227">
        <v>3000</v>
      </c>
      <c r="G46" s="227">
        <f t="shared" si="27"/>
        <v>30000</v>
      </c>
      <c r="H46" s="268">
        <f t="shared" ref="H46:H50" si="30">G46/589.84</f>
        <v>50.8612505086125</v>
      </c>
      <c r="I46" s="642">
        <f t="shared" si="28"/>
        <v>900</v>
      </c>
      <c r="J46" s="642">
        <f>1050*D46</f>
        <v>1050</v>
      </c>
      <c r="K46" s="642">
        <f t="shared" si="29"/>
        <v>30000</v>
      </c>
      <c r="L46" s="522"/>
      <c r="M46" s="522"/>
      <c r="N46" s="522"/>
      <c r="O46" s="572"/>
    </row>
    <row r="47" spans="1:15" ht="28.5" x14ac:dyDescent="0.25">
      <c r="A47" s="188">
        <v>3</v>
      </c>
      <c r="B47" s="189" t="s">
        <v>902</v>
      </c>
      <c r="C47" s="225" t="s">
        <v>28</v>
      </c>
      <c r="D47" s="226">
        <v>1</v>
      </c>
      <c r="E47" s="221">
        <v>10</v>
      </c>
      <c r="F47" s="227">
        <v>7500</v>
      </c>
      <c r="G47" s="227">
        <f t="shared" si="27"/>
        <v>75000</v>
      </c>
      <c r="H47" s="268">
        <f t="shared" si="30"/>
        <v>127.15312627153125</v>
      </c>
      <c r="I47" s="642">
        <f t="shared" si="28"/>
        <v>2250</v>
      </c>
      <c r="J47" s="642">
        <f>1600*D47</f>
        <v>1600</v>
      </c>
      <c r="K47" s="642">
        <f t="shared" si="29"/>
        <v>75000</v>
      </c>
      <c r="L47" s="522"/>
      <c r="M47" s="522"/>
      <c r="N47" s="522"/>
      <c r="O47" s="572"/>
    </row>
    <row r="48" spans="1:15" x14ac:dyDescent="0.25">
      <c r="A48" s="188">
        <v>4</v>
      </c>
      <c r="B48" s="189" t="s">
        <v>1364</v>
      </c>
      <c r="C48" s="225" t="s">
        <v>28</v>
      </c>
      <c r="D48" s="226">
        <v>3</v>
      </c>
      <c r="E48" s="221">
        <v>7</v>
      </c>
      <c r="F48" s="227">
        <v>3000</v>
      </c>
      <c r="G48" s="227">
        <f t="shared" si="27"/>
        <v>63000</v>
      </c>
      <c r="H48" s="268">
        <f t="shared" ref="H48" si="31">G48/589.84</f>
        <v>106.80862606808626</v>
      </c>
      <c r="I48" s="642">
        <f t="shared" si="28"/>
        <v>1890</v>
      </c>
      <c r="J48" s="642">
        <f>550*D48</f>
        <v>1650</v>
      </c>
      <c r="K48" s="642">
        <f t="shared" si="29"/>
        <v>21000</v>
      </c>
      <c r="L48" s="522"/>
      <c r="M48" s="522"/>
      <c r="N48" s="522"/>
      <c r="O48" s="572"/>
    </row>
    <row r="49" spans="1:15" x14ac:dyDescent="0.25">
      <c r="A49" s="188">
        <v>5</v>
      </c>
      <c r="B49" s="189" t="s">
        <v>1343</v>
      </c>
      <c r="C49" s="225" t="s">
        <v>28</v>
      </c>
      <c r="D49" s="226">
        <v>1</v>
      </c>
      <c r="E49" s="221">
        <v>10</v>
      </c>
      <c r="F49" s="227">
        <v>8000</v>
      </c>
      <c r="G49" s="227">
        <f t="shared" si="27"/>
        <v>80000</v>
      </c>
      <c r="H49" s="268">
        <f t="shared" si="30"/>
        <v>135.6300013563</v>
      </c>
      <c r="I49" s="642">
        <f t="shared" si="28"/>
        <v>2400</v>
      </c>
      <c r="J49" s="642">
        <f>1600*D49</f>
        <v>1600</v>
      </c>
      <c r="K49" s="642">
        <f t="shared" si="29"/>
        <v>80000</v>
      </c>
      <c r="L49" s="522"/>
      <c r="M49" s="522"/>
      <c r="N49" s="522"/>
      <c r="O49" s="572"/>
    </row>
    <row r="50" spans="1:15" ht="16.5" thickBot="1" x14ac:dyDescent="0.3">
      <c r="A50" s="188">
        <v>6</v>
      </c>
      <c r="B50" s="189" t="s">
        <v>903</v>
      </c>
      <c r="C50" s="225" t="s">
        <v>28</v>
      </c>
      <c r="D50" s="226">
        <v>1</v>
      </c>
      <c r="E50" s="221">
        <v>10</v>
      </c>
      <c r="F50" s="25">
        <v>8000</v>
      </c>
      <c r="G50" s="227">
        <f t="shared" si="27"/>
        <v>80000</v>
      </c>
      <c r="H50" s="268">
        <f t="shared" si="30"/>
        <v>135.6300013563</v>
      </c>
      <c r="I50" s="642">
        <f t="shared" si="28"/>
        <v>2400</v>
      </c>
      <c r="J50" s="642">
        <f>1600*D50</f>
        <v>1600</v>
      </c>
      <c r="K50" s="642">
        <f t="shared" si="29"/>
        <v>80000</v>
      </c>
      <c r="L50" s="522"/>
      <c r="M50" s="522"/>
      <c r="N50" s="522"/>
      <c r="O50" s="572"/>
    </row>
    <row r="51" spans="1:15" ht="18.75" thickBot="1" x14ac:dyDescent="0.3">
      <c r="A51" s="341"/>
      <c r="B51" s="342" t="s">
        <v>1399</v>
      </c>
      <c r="C51" s="343"/>
      <c r="D51" s="343"/>
      <c r="E51" s="343"/>
      <c r="F51" s="344"/>
      <c r="G51" s="344">
        <f>SUM(G45:G50)</f>
        <v>478000</v>
      </c>
      <c r="H51" s="345">
        <f>SUM(H45:H50)</f>
        <v>810.38925810389253</v>
      </c>
      <c r="I51" s="692">
        <f t="shared" ref="I51" si="32">SUM(I45:I50)</f>
        <v>14340</v>
      </c>
      <c r="J51" s="263">
        <f>SUM(J45:J50)</f>
        <v>10700</v>
      </c>
      <c r="K51" s="12"/>
      <c r="L51" s="522"/>
      <c r="M51" s="522"/>
      <c r="N51" s="522"/>
      <c r="O51" s="572"/>
    </row>
    <row r="52" spans="1:15" ht="16.5" thickBot="1" x14ac:dyDescent="0.3">
      <c r="A52" s="188">
        <v>1</v>
      </c>
      <c r="B52" s="189" t="s">
        <v>904</v>
      </c>
      <c r="C52" s="225" t="s">
        <v>28</v>
      </c>
      <c r="D52" s="226">
        <v>2</v>
      </c>
      <c r="E52" s="221">
        <v>10</v>
      </c>
      <c r="F52" s="227">
        <v>7500</v>
      </c>
      <c r="G52" s="227">
        <f t="shared" ref="G52:G57" si="33">D52*E52*F52</f>
        <v>150000</v>
      </c>
      <c r="H52" s="347">
        <f>G52/589.84</f>
        <v>254.3062525430625</v>
      </c>
      <c r="I52" s="642">
        <f t="shared" ref="I52:I56" si="34">G52*0.03</f>
        <v>4500</v>
      </c>
      <c r="J52" s="642">
        <f>1600*D52</f>
        <v>3200</v>
      </c>
      <c r="K52" s="642">
        <f t="shared" ref="K52:K57" si="35">G52/D52</f>
        <v>75000</v>
      </c>
      <c r="L52" s="522"/>
      <c r="M52" s="522"/>
      <c r="N52" s="522"/>
      <c r="O52" s="572"/>
    </row>
    <row r="53" spans="1:15" x14ac:dyDescent="0.25">
      <c r="A53" s="188">
        <v>2</v>
      </c>
      <c r="B53" s="189" t="s">
        <v>905</v>
      </c>
      <c r="C53" s="225" t="s">
        <v>28</v>
      </c>
      <c r="D53" s="226">
        <v>1</v>
      </c>
      <c r="E53" s="221">
        <v>10</v>
      </c>
      <c r="F53" s="227">
        <v>3000</v>
      </c>
      <c r="G53" s="227">
        <f t="shared" si="33"/>
        <v>30000</v>
      </c>
      <c r="H53" s="268">
        <f t="shared" ref="H53:H57" si="36">G53/589.84</f>
        <v>50.8612505086125</v>
      </c>
      <c r="I53" s="642">
        <f t="shared" si="34"/>
        <v>900</v>
      </c>
      <c r="J53" s="642">
        <f>1050*D53</f>
        <v>1050</v>
      </c>
      <c r="K53" s="642">
        <f t="shared" si="35"/>
        <v>30000</v>
      </c>
      <c r="L53" s="522"/>
      <c r="M53" s="522"/>
      <c r="N53" s="522"/>
      <c r="O53" s="572"/>
    </row>
    <row r="54" spans="1:15" ht="28.5" x14ac:dyDescent="0.25">
      <c r="A54" s="188">
        <v>3</v>
      </c>
      <c r="B54" s="189" t="s">
        <v>906</v>
      </c>
      <c r="C54" s="225" t="s">
        <v>28</v>
      </c>
      <c r="D54" s="226">
        <v>1</v>
      </c>
      <c r="E54" s="221">
        <v>10</v>
      </c>
      <c r="F54" s="227">
        <v>7500</v>
      </c>
      <c r="G54" s="227">
        <f t="shared" si="33"/>
        <v>75000</v>
      </c>
      <c r="H54" s="268">
        <f t="shared" si="36"/>
        <v>127.15312627153125</v>
      </c>
      <c r="I54" s="642">
        <f t="shared" si="34"/>
        <v>2250</v>
      </c>
      <c r="J54" s="642">
        <f>1600*D54</f>
        <v>1600</v>
      </c>
      <c r="K54" s="642">
        <f t="shared" si="35"/>
        <v>75000</v>
      </c>
      <c r="L54" s="522"/>
      <c r="M54" s="522"/>
      <c r="N54" s="522"/>
      <c r="O54" s="572"/>
    </row>
    <row r="55" spans="1:15" x14ac:dyDescent="0.25">
      <c r="A55" s="188">
        <v>4</v>
      </c>
      <c r="B55" s="189" t="s">
        <v>1364</v>
      </c>
      <c r="C55" s="225" t="s">
        <v>28</v>
      </c>
      <c r="D55" s="226">
        <v>2</v>
      </c>
      <c r="E55" s="221">
        <v>7</v>
      </c>
      <c r="F55" s="227">
        <v>3000</v>
      </c>
      <c r="G55" s="227">
        <f t="shared" si="33"/>
        <v>42000</v>
      </c>
      <c r="H55" s="268">
        <f t="shared" ref="H55" si="37">G55/589.84</f>
        <v>71.205750712057508</v>
      </c>
      <c r="I55" s="642">
        <f t="shared" si="34"/>
        <v>1260</v>
      </c>
      <c r="J55" s="642">
        <f>550*D55</f>
        <v>1100</v>
      </c>
      <c r="K55" s="642">
        <f t="shared" si="35"/>
        <v>21000</v>
      </c>
      <c r="L55" s="522"/>
      <c r="M55" s="522"/>
      <c r="N55" s="522"/>
      <c r="O55" s="572"/>
    </row>
    <row r="56" spans="1:15" x14ac:dyDescent="0.25">
      <c r="A56" s="188">
        <v>5</v>
      </c>
      <c r="B56" s="189" t="s">
        <v>1343</v>
      </c>
      <c r="C56" s="225" t="s">
        <v>28</v>
      </c>
      <c r="D56" s="226">
        <v>1</v>
      </c>
      <c r="E56" s="221">
        <v>10</v>
      </c>
      <c r="F56" s="227">
        <v>8000</v>
      </c>
      <c r="G56" s="227">
        <f t="shared" si="33"/>
        <v>80000</v>
      </c>
      <c r="H56" s="268">
        <f t="shared" ref="H56" si="38">G56/589.84</f>
        <v>135.6300013563</v>
      </c>
      <c r="I56" s="642">
        <f t="shared" si="34"/>
        <v>2400</v>
      </c>
      <c r="J56" s="642">
        <f>1600*D56</f>
        <v>1600</v>
      </c>
      <c r="K56" s="642">
        <f t="shared" si="35"/>
        <v>80000</v>
      </c>
      <c r="L56" s="522"/>
      <c r="M56" s="522"/>
      <c r="N56" s="522"/>
      <c r="O56" s="572"/>
    </row>
    <row r="57" spans="1:15" ht="16.5" thickBot="1" x14ac:dyDescent="0.3">
      <c r="A57" s="188">
        <v>6</v>
      </c>
      <c r="B57" s="189" t="s">
        <v>907</v>
      </c>
      <c r="C57" s="225" t="s">
        <v>28</v>
      </c>
      <c r="D57" s="226">
        <v>1</v>
      </c>
      <c r="E57" s="221">
        <v>10</v>
      </c>
      <c r="F57" s="25">
        <v>8000</v>
      </c>
      <c r="G57" s="227">
        <f t="shared" si="33"/>
        <v>80000</v>
      </c>
      <c r="H57" s="268">
        <f t="shared" si="36"/>
        <v>135.6300013563</v>
      </c>
      <c r="I57" s="642">
        <f>G57*0.03</f>
        <v>2400</v>
      </c>
      <c r="J57" s="642">
        <f>1600*D57</f>
        <v>1600</v>
      </c>
      <c r="K57" s="642">
        <f t="shared" si="35"/>
        <v>80000</v>
      </c>
      <c r="L57" s="522"/>
      <c r="M57" s="522"/>
      <c r="N57" s="522"/>
      <c r="O57" s="572"/>
    </row>
    <row r="58" spans="1:15" ht="18.75" thickBot="1" x14ac:dyDescent="0.3">
      <c r="A58" s="341"/>
      <c r="B58" s="342" t="s">
        <v>1399</v>
      </c>
      <c r="C58" s="343"/>
      <c r="D58" s="343"/>
      <c r="E58" s="343"/>
      <c r="F58" s="344"/>
      <c r="G58" s="344">
        <f>SUM(G52:G57)</f>
        <v>457000</v>
      </c>
      <c r="H58" s="345">
        <f>SUM(H52:H57)</f>
        <v>774.78638274786385</v>
      </c>
      <c r="I58" s="692">
        <f>SUM(I52:I57)</f>
        <v>13710</v>
      </c>
      <c r="J58" s="263">
        <f>SUM(J52:J57)</f>
        <v>10150</v>
      </c>
      <c r="K58" s="12"/>
      <c r="L58" s="522"/>
      <c r="M58" s="522"/>
      <c r="N58" s="522"/>
      <c r="O58" s="572"/>
    </row>
    <row r="59" spans="1:15" ht="16.5" thickBot="1" x14ac:dyDescent="0.3">
      <c r="A59" s="188">
        <v>1</v>
      </c>
      <c r="B59" s="189" t="s">
        <v>908</v>
      </c>
      <c r="C59" s="225" t="s">
        <v>28</v>
      </c>
      <c r="D59" s="226">
        <v>2</v>
      </c>
      <c r="E59" s="221">
        <v>10</v>
      </c>
      <c r="F59" s="227">
        <v>7500</v>
      </c>
      <c r="G59" s="227">
        <f t="shared" ref="G59:G64" si="39">D59*E59*F59</f>
        <v>150000</v>
      </c>
      <c r="H59" s="347">
        <f>G59/589.84</f>
        <v>254.3062525430625</v>
      </c>
      <c r="I59" s="642">
        <f t="shared" ref="I59:I64" si="40">G59*0.03</f>
        <v>4500</v>
      </c>
      <c r="J59" s="642">
        <f>1600*D59</f>
        <v>3200</v>
      </c>
      <c r="K59" s="642">
        <f t="shared" ref="K59:K64" si="41">G59/D59</f>
        <v>75000</v>
      </c>
      <c r="L59" s="522"/>
      <c r="M59" s="522"/>
      <c r="N59" s="522"/>
      <c r="O59" s="572"/>
    </row>
    <row r="60" spans="1:15" x14ac:dyDescent="0.25">
      <c r="A60" s="188">
        <v>2</v>
      </c>
      <c r="B60" s="189" t="s">
        <v>909</v>
      </c>
      <c r="C60" s="225" t="s">
        <v>28</v>
      </c>
      <c r="D60" s="226">
        <v>1</v>
      </c>
      <c r="E60" s="221">
        <v>10</v>
      </c>
      <c r="F60" s="227">
        <v>3000</v>
      </c>
      <c r="G60" s="227">
        <f t="shared" si="39"/>
        <v>30000</v>
      </c>
      <c r="H60" s="268">
        <f t="shared" ref="H60:H64" si="42">G60/589.84</f>
        <v>50.8612505086125</v>
      </c>
      <c r="I60" s="642">
        <f t="shared" si="40"/>
        <v>900</v>
      </c>
      <c r="J60" s="642">
        <f>1050*D60</f>
        <v>1050</v>
      </c>
      <c r="K60" s="642">
        <f t="shared" si="41"/>
        <v>30000</v>
      </c>
      <c r="L60" s="522"/>
      <c r="M60" s="522"/>
      <c r="N60" s="522"/>
      <c r="O60" s="572"/>
    </row>
    <row r="61" spans="1:15" ht="28.5" x14ac:dyDescent="0.25">
      <c r="A61" s="188">
        <v>3</v>
      </c>
      <c r="B61" s="189" t="s">
        <v>910</v>
      </c>
      <c r="C61" s="225" t="s">
        <v>28</v>
      </c>
      <c r="D61" s="226">
        <v>1</v>
      </c>
      <c r="E61" s="221">
        <v>10</v>
      </c>
      <c r="F61" s="227">
        <v>7500</v>
      </c>
      <c r="G61" s="227">
        <f t="shared" si="39"/>
        <v>75000</v>
      </c>
      <c r="H61" s="268">
        <f t="shared" si="42"/>
        <v>127.15312627153125</v>
      </c>
      <c r="I61" s="642">
        <f t="shared" si="40"/>
        <v>2250</v>
      </c>
      <c r="J61" s="642">
        <f>1600*D61</f>
        <v>1600</v>
      </c>
      <c r="K61" s="642">
        <f t="shared" si="41"/>
        <v>75000</v>
      </c>
      <c r="L61" s="522"/>
      <c r="M61" s="522"/>
      <c r="N61" s="522"/>
      <c r="O61" s="572"/>
    </row>
    <row r="62" spans="1:15" x14ac:dyDescent="0.25">
      <c r="A62" s="188">
        <v>4</v>
      </c>
      <c r="B62" s="189" t="s">
        <v>1364</v>
      </c>
      <c r="C62" s="225" t="s">
        <v>28</v>
      </c>
      <c r="D62" s="226">
        <v>2</v>
      </c>
      <c r="E62" s="221">
        <v>7</v>
      </c>
      <c r="F62" s="227">
        <v>3000</v>
      </c>
      <c r="G62" s="227">
        <f t="shared" si="39"/>
        <v>42000</v>
      </c>
      <c r="H62" s="268">
        <f t="shared" ref="H62" si="43">G62/589.84</f>
        <v>71.205750712057508</v>
      </c>
      <c r="I62" s="642">
        <f t="shared" si="40"/>
        <v>1260</v>
      </c>
      <c r="J62" s="642">
        <f>550*D62</f>
        <v>1100</v>
      </c>
      <c r="K62" s="642">
        <f t="shared" si="41"/>
        <v>21000</v>
      </c>
      <c r="L62" s="522"/>
      <c r="M62" s="522"/>
      <c r="N62" s="522"/>
      <c r="O62" s="572"/>
    </row>
    <row r="63" spans="1:15" x14ac:dyDescent="0.25">
      <c r="A63" s="188">
        <v>5</v>
      </c>
      <c r="B63" s="189" t="s">
        <v>1343</v>
      </c>
      <c r="C63" s="225" t="s">
        <v>28</v>
      </c>
      <c r="D63" s="226">
        <v>1</v>
      </c>
      <c r="E63" s="221">
        <v>10</v>
      </c>
      <c r="F63" s="227">
        <v>8000</v>
      </c>
      <c r="G63" s="227">
        <f t="shared" si="39"/>
        <v>80000</v>
      </c>
      <c r="H63" s="268">
        <f t="shared" ref="H63" si="44">G63/589.84</f>
        <v>135.6300013563</v>
      </c>
      <c r="I63" s="642">
        <f t="shared" si="40"/>
        <v>2400</v>
      </c>
      <c r="J63" s="642">
        <f>1600*D63</f>
        <v>1600</v>
      </c>
      <c r="K63" s="642">
        <f t="shared" si="41"/>
        <v>80000</v>
      </c>
      <c r="L63" s="522"/>
      <c r="M63" s="522"/>
      <c r="N63" s="522"/>
      <c r="O63" s="572"/>
    </row>
    <row r="64" spans="1:15" ht="16.5" thickBot="1" x14ac:dyDescent="0.3">
      <c r="A64" s="188">
        <v>6</v>
      </c>
      <c r="B64" s="189" t="s">
        <v>911</v>
      </c>
      <c r="C64" s="225" t="s">
        <v>28</v>
      </c>
      <c r="D64" s="226">
        <v>1</v>
      </c>
      <c r="E64" s="221">
        <v>10</v>
      </c>
      <c r="F64" s="25">
        <v>8000</v>
      </c>
      <c r="G64" s="227">
        <f t="shared" si="39"/>
        <v>80000</v>
      </c>
      <c r="H64" s="268">
        <f t="shared" si="42"/>
        <v>135.6300013563</v>
      </c>
      <c r="I64" s="642">
        <f t="shared" si="40"/>
        <v>2400</v>
      </c>
      <c r="J64" s="642">
        <f>1600*D64</f>
        <v>1600</v>
      </c>
      <c r="K64" s="642">
        <f t="shared" si="41"/>
        <v>80000</v>
      </c>
      <c r="L64" s="522"/>
      <c r="M64" s="522"/>
      <c r="N64" s="522"/>
      <c r="O64" s="572"/>
    </row>
    <row r="65" spans="1:15" ht="18.75" thickBot="1" x14ac:dyDescent="0.3">
      <c r="A65" s="341"/>
      <c r="B65" s="342" t="s">
        <v>1399</v>
      </c>
      <c r="C65" s="343"/>
      <c r="D65" s="343"/>
      <c r="E65" s="343"/>
      <c r="F65" s="344"/>
      <c r="G65" s="344">
        <f>SUM(G59:G64)</f>
        <v>457000</v>
      </c>
      <c r="H65" s="345">
        <f>SUM(H59:H64)</f>
        <v>774.78638274786385</v>
      </c>
      <c r="I65" s="263">
        <f>SUM(I59:I64)</f>
        <v>13710</v>
      </c>
      <c r="J65" s="263">
        <f>SUM(J59:J64)</f>
        <v>10150</v>
      </c>
      <c r="K65" s="12"/>
      <c r="L65" s="522"/>
      <c r="M65" s="522"/>
      <c r="N65" s="522"/>
      <c r="O65" s="572"/>
    </row>
    <row r="66" spans="1:15" ht="16.5" thickBot="1" x14ac:dyDescent="0.3">
      <c r="A66" s="188">
        <v>1</v>
      </c>
      <c r="B66" s="189" t="s">
        <v>912</v>
      </c>
      <c r="C66" s="225" t="s">
        <v>28</v>
      </c>
      <c r="D66" s="226">
        <v>2</v>
      </c>
      <c r="E66" s="221">
        <v>10</v>
      </c>
      <c r="F66" s="227">
        <v>7500</v>
      </c>
      <c r="G66" s="227">
        <f t="shared" ref="G66:G71" si="45">D66*E66*F66</f>
        <v>150000</v>
      </c>
      <c r="H66" s="347">
        <f>G66/589.84</f>
        <v>254.3062525430625</v>
      </c>
      <c r="I66" s="642">
        <f t="shared" ref="I66:I71" si="46">G66*0.03</f>
        <v>4500</v>
      </c>
      <c r="J66" s="642">
        <f>1600*D66</f>
        <v>3200</v>
      </c>
      <c r="K66" s="642">
        <f t="shared" ref="K66:K71" si="47">G66/D66</f>
        <v>75000</v>
      </c>
      <c r="L66" s="522"/>
      <c r="M66" s="522"/>
      <c r="N66" s="522"/>
      <c r="O66" s="572"/>
    </row>
    <row r="67" spans="1:15" x14ac:dyDescent="0.25">
      <c r="A67" s="188">
        <v>2</v>
      </c>
      <c r="B67" s="189" t="s">
        <v>913</v>
      </c>
      <c r="C67" s="225" t="s">
        <v>28</v>
      </c>
      <c r="D67" s="226">
        <v>1</v>
      </c>
      <c r="E67" s="221">
        <v>10</v>
      </c>
      <c r="F67" s="227">
        <v>3000</v>
      </c>
      <c r="G67" s="227">
        <f t="shared" si="45"/>
        <v>30000</v>
      </c>
      <c r="H67" s="268">
        <f t="shared" ref="H67:H71" si="48">G67/589.84</f>
        <v>50.8612505086125</v>
      </c>
      <c r="I67" s="642">
        <f t="shared" si="46"/>
        <v>900</v>
      </c>
      <c r="J67" s="642">
        <f>1050*D67</f>
        <v>1050</v>
      </c>
      <c r="K67" s="642">
        <f t="shared" si="47"/>
        <v>30000</v>
      </c>
      <c r="L67" s="522"/>
      <c r="M67" s="522"/>
      <c r="N67" s="522"/>
      <c r="O67" s="572"/>
    </row>
    <row r="68" spans="1:15" ht="28.5" x14ac:dyDescent="0.25">
      <c r="A68" s="188">
        <v>3</v>
      </c>
      <c r="B68" s="189" t="s">
        <v>914</v>
      </c>
      <c r="C68" s="225" t="s">
        <v>28</v>
      </c>
      <c r="D68" s="226">
        <v>1</v>
      </c>
      <c r="E68" s="221">
        <v>10</v>
      </c>
      <c r="F68" s="227">
        <v>7500</v>
      </c>
      <c r="G68" s="227">
        <f t="shared" si="45"/>
        <v>75000</v>
      </c>
      <c r="H68" s="268">
        <f t="shared" si="48"/>
        <v>127.15312627153125</v>
      </c>
      <c r="I68" s="642">
        <f t="shared" si="46"/>
        <v>2250</v>
      </c>
      <c r="J68" s="642">
        <f>1600*D68</f>
        <v>1600</v>
      </c>
      <c r="K68" s="642">
        <f t="shared" si="47"/>
        <v>75000</v>
      </c>
      <c r="L68" s="522"/>
      <c r="M68" s="522"/>
      <c r="N68" s="522"/>
      <c r="O68" s="572"/>
    </row>
    <row r="69" spans="1:15" x14ac:dyDescent="0.25">
      <c r="A69" s="188">
        <v>4</v>
      </c>
      <c r="B69" s="189" t="s">
        <v>1364</v>
      </c>
      <c r="C69" s="225" t="s">
        <v>28</v>
      </c>
      <c r="D69" s="226">
        <v>2</v>
      </c>
      <c r="E69" s="221">
        <v>7</v>
      </c>
      <c r="F69" s="227">
        <v>3000</v>
      </c>
      <c r="G69" s="227">
        <f t="shared" si="45"/>
        <v>42000</v>
      </c>
      <c r="H69" s="268">
        <f t="shared" ref="H69" si="49">G69/589.84</f>
        <v>71.205750712057508</v>
      </c>
      <c r="I69" s="642">
        <f t="shared" si="46"/>
        <v>1260</v>
      </c>
      <c r="J69" s="642">
        <f>550*D69</f>
        <v>1100</v>
      </c>
      <c r="K69" s="642">
        <f t="shared" si="47"/>
        <v>21000</v>
      </c>
      <c r="L69" s="522"/>
      <c r="M69" s="522"/>
      <c r="N69" s="522"/>
      <c r="O69" s="572"/>
    </row>
    <row r="70" spans="1:15" x14ac:dyDescent="0.25">
      <c r="A70" s="188">
        <v>5</v>
      </c>
      <c r="B70" s="189" t="s">
        <v>1343</v>
      </c>
      <c r="C70" s="225" t="s">
        <v>28</v>
      </c>
      <c r="D70" s="226">
        <v>1</v>
      </c>
      <c r="E70" s="221">
        <v>10</v>
      </c>
      <c r="F70" s="227">
        <v>8000</v>
      </c>
      <c r="G70" s="227">
        <f t="shared" si="45"/>
        <v>80000</v>
      </c>
      <c r="H70" s="268">
        <f t="shared" ref="H70" si="50">G70/589.84</f>
        <v>135.6300013563</v>
      </c>
      <c r="I70" s="642">
        <f t="shared" si="46"/>
        <v>2400</v>
      </c>
      <c r="J70" s="642">
        <f>1600*D70</f>
        <v>1600</v>
      </c>
      <c r="K70" s="642">
        <f t="shared" si="47"/>
        <v>80000</v>
      </c>
      <c r="L70" s="522"/>
      <c r="M70" s="522"/>
      <c r="N70" s="522"/>
      <c r="O70" s="572"/>
    </row>
    <row r="71" spans="1:15" ht="16.5" thickBot="1" x14ac:dyDescent="0.3">
      <c r="A71" s="188">
        <v>6</v>
      </c>
      <c r="B71" s="189" t="s">
        <v>915</v>
      </c>
      <c r="C71" s="225" t="s">
        <v>28</v>
      </c>
      <c r="D71" s="226">
        <v>1</v>
      </c>
      <c r="E71" s="221">
        <v>10</v>
      </c>
      <c r="F71" s="25">
        <v>8000</v>
      </c>
      <c r="G71" s="227">
        <f t="shared" si="45"/>
        <v>80000</v>
      </c>
      <c r="H71" s="268">
        <f t="shared" si="48"/>
        <v>135.6300013563</v>
      </c>
      <c r="I71" s="642">
        <f t="shared" si="46"/>
        <v>2400</v>
      </c>
      <c r="J71" s="642">
        <f>1600*D71</f>
        <v>1600</v>
      </c>
      <c r="K71" s="642">
        <f t="shared" si="47"/>
        <v>80000</v>
      </c>
      <c r="L71" s="522"/>
      <c r="M71" s="522"/>
      <c r="N71" s="522"/>
      <c r="O71" s="572"/>
    </row>
    <row r="72" spans="1:15" ht="18.75" thickBot="1" x14ac:dyDescent="0.3">
      <c r="A72" s="341"/>
      <c r="B72" s="342" t="s">
        <v>1399</v>
      </c>
      <c r="C72" s="343"/>
      <c r="D72" s="343"/>
      <c r="E72" s="343"/>
      <c r="F72" s="344"/>
      <c r="G72" s="344">
        <f>SUM(G66:G71)</f>
        <v>457000</v>
      </c>
      <c r="H72" s="345">
        <f>SUM(H66:H71)</f>
        <v>774.78638274786385</v>
      </c>
      <c r="I72" s="263">
        <f>SUM(I66:I71)</f>
        <v>13710</v>
      </c>
      <c r="J72" s="263">
        <f>SUM(J66:J71)</f>
        <v>10150</v>
      </c>
      <c r="K72" s="12"/>
      <c r="L72" s="522"/>
      <c r="M72" s="522"/>
      <c r="N72" s="522"/>
      <c r="O72" s="572"/>
    </row>
    <row r="73" spans="1:15" ht="16.5" thickBot="1" x14ac:dyDescent="0.3">
      <c r="A73" s="188">
        <v>1</v>
      </c>
      <c r="B73" s="189" t="s">
        <v>916</v>
      </c>
      <c r="C73" s="225" t="s">
        <v>28</v>
      </c>
      <c r="D73" s="226">
        <v>2</v>
      </c>
      <c r="E73" s="221">
        <v>10</v>
      </c>
      <c r="F73" s="227">
        <v>7500</v>
      </c>
      <c r="G73" s="227">
        <f t="shared" ref="G73:G78" si="51">D73*E73*F73</f>
        <v>150000</v>
      </c>
      <c r="H73" s="347">
        <f>G73/589.84</f>
        <v>254.3062525430625</v>
      </c>
      <c r="I73" s="642">
        <f t="shared" ref="I73:I78" si="52">G73*0.03</f>
        <v>4500</v>
      </c>
      <c r="J73" s="642">
        <f>1600*D73</f>
        <v>3200</v>
      </c>
      <c r="K73" s="642">
        <f t="shared" ref="K73:K78" si="53">G73/D73</f>
        <v>75000</v>
      </c>
      <c r="L73" s="522"/>
      <c r="M73" s="522"/>
      <c r="N73" s="522"/>
      <c r="O73" s="572"/>
    </row>
    <row r="74" spans="1:15" x14ac:dyDescent="0.25">
      <c r="A74" s="188">
        <v>2</v>
      </c>
      <c r="B74" s="189" t="s">
        <v>917</v>
      </c>
      <c r="C74" s="225" t="s">
        <v>28</v>
      </c>
      <c r="D74" s="226">
        <v>1</v>
      </c>
      <c r="E74" s="221">
        <v>10</v>
      </c>
      <c r="F74" s="227">
        <v>3000</v>
      </c>
      <c r="G74" s="227">
        <f t="shared" si="51"/>
        <v>30000</v>
      </c>
      <c r="H74" s="268">
        <f t="shared" ref="H74:H78" si="54">G74/589.84</f>
        <v>50.8612505086125</v>
      </c>
      <c r="I74" s="642">
        <f t="shared" si="52"/>
        <v>900</v>
      </c>
      <c r="J74" s="642">
        <f>1050*D74</f>
        <v>1050</v>
      </c>
      <c r="K74" s="642">
        <f t="shared" si="53"/>
        <v>30000</v>
      </c>
      <c r="L74" s="522"/>
      <c r="M74" s="522"/>
      <c r="N74" s="522"/>
      <c r="O74" s="572"/>
    </row>
    <row r="75" spans="1:15" ht="28.5" x14ac:dyDescent="0.25">
      <c r="A75" s="188">
        <v>3</v>
      </c>
      <c r="B75" s="189" t="s">
        <v>918</v>
      </c>
      <c r="C75" s="225" t="s">
        <v>28</v>
      </c>
      <c r="D75" s="226">
        <v>1</v>
      </c>
      <c r="E75" s="221">
        <v>10</v>
      </c>
      <c r="F75" s="227">
        <v>7500</v>
      </c>
      <c r="G75" s="227">
        <f t="shared" si="51"/>
        <v>75000</v>
      </c>
      <c r="H75" s="268">
        <f t="shared" si="54"/>
        <v>127.15312627153125</v>
      </c>
      <c r="I75" s="642">
        <f t="shared" si="52"/>
        <v>2250</v>
      </c>
      <c r="J75" s="642">
        <f>1600*D75</f>
        <v>1600</v>
      </c>
      <c r="K75" s="642">
        <f t="shared" si="53"/>
        <v>75000</v>
      </c>
      <c r="L75" s="522"/>
      <c r="M75" s="522"/>
      <c r="N75" s="522"/>
      <c r="O75" s="572"/>
    </row>
    <row r="76" spans="1:15" x14ac:dyDescent="0.25">
      <c r="A76" s="188">
        <v>4</v>
      </c>
      <c r="B76" s="189" t="s">
        <v>1364</v>
      </c>
      <c r="C76" s="225" t="s">
        <v>28</v>
      </c>
      <c r="D76" s="226">
        <v>12</v>
      </c>
      <c r="E76" s="221">
        <v>7</v>
      </c>
      <c r="F76" s="227">
        <v>3000</v>
      </c>
      <c r="G76" s="227">
        <f t="shared" si="51"/>
        <v>252000</v>
      </c>
      <c r="H76" s="268">
        <f t="shared" ref="H76" si="55">G76/589.84</f>
        <v>427.23450427234502</v>
      </c>
      <c r="I76" s="642">
        <f t="shared" si="52"/>
        <v>7560</v>
      </c>
      <c r="J76" s="642">
        <f>550*D76</f>
        <v>6600</v>
      </c>
      <c r="K76" s="642">
        <f t="shared" si="53"/>
        <v>21000</v>
      </c>
      <c r="L76" s="522"/>
      <c r="M76" s="522"/>
      <c r="N76" s="522"/>
      <c r="O76" s="572"/>
    </row>
    <row r="77" spans="1:15" x14ac:dyDescent="0.25">
      <c r="A77" s="188">
        <v>5</v>
      </c>
      <c r="B77" s="189" t="s">
        <v>1343</v>
      </c>
      <c r="C77" s="225" t="s">
        <v>28</v>
      </c>
      <c r="D77" s="226">
        <v>1</v>
      </c>
      <c r="E77" s="221">
        <v>10</v>
      </c>
      <c r="F77" s="227">
        <v>8000</v>
      </c>
      <c r="G77" s="227">
        <f t="shared" si="51"/>
        <v>80000</v>
      </c>
      <c r="H77" s="268">
        <f t="shared" si="54"/>
        <v>135.6300013563</v>
      </c>
      <c r="I77" s="642">
        <f t="shared" si="52"/>
        <v>2400</v>
      </c>
      <c r="J77" s="642">
        <f>1600*D77</f>
        <v>1600</v>
      </c>
      <c r="K77" s="642">
        <f t="shared" si="53"/>
        <v>80000</v>
      </c>
      <c r="L77" s="522"/>
      <c r="M77" s="522"/>
      <c r="N77" s="522"/>
      <c r="O77" s="572"/>
    </row>
    <row r="78" spans="1:15" ht="16.5" thickBot="1" x14ac:dyDescent="0.3">
      <c r="A78" s="188">
        <v>6</v>
      </c>
      <c r="B78" s="189" t="s">
        <v>919</v>
      </c>
      <c r="C78" s="225" t="s">
        <v>28</v>
      </c>
      <c r="D78" s="226">
        <v>1</v>
      </c>
      <c r="E78" s="221">
        <v>10</v>
      </c>
      <c r="F78" s="25">
        <v>8000</v>
      </c>
      <c r="G78" s="227">
        <f t="shared" si="51"/>
        <v>80000</v>
      </c>
      <c r="H78" s="268">
        <f t="shared" si="54"/>
        <v>135.6300013563</v>
      </c>
      <c r="I78" s="642">
        <f t="shared" si="52"/>
        <v>2400</v>
      </c>
      <c r="J78" s="642">
        <f>1600*D78</f>
        <v>1600</v>
      </c>
      <c r="K78" s="642">
        <f t="shared" si="53"/>
        <v>80000</v>
      </c>
      <c r="L78" s="522"/>
      <c r="M78" s="522"/>
      <c r="N78" s="522"/>
      <c r="O78" s="572"/>
    </row>
    <row r="79" spans="1:15" ht="18.75" thickBot="1" x14ac:dyDescent="0.3">
      <c r="A79" s="341"/>
      <c r="B79" s="342" t="s">
        <v>1399</v>
      </c>
      <c r="C79" s="343"/>
      <c r="D79" s="343"/>
      <c r="E79" s="343"/>
      <c r="F79" s="344"/>
      <c r="G79" s="344">
        <f>SUM(G73:G78)</f>
        <v>667000</v>
      </c>
      <c r="H79" s="345">
        <f>SUM(H73:H78)</f>
        <v>1130.8151363081513</v>
      </c>
      <c r="I79" s="263">
        <f>SUM(I73:I78)</f>
        <v>20010</v>
      </c>
      <c r="J79" s="263">
        <f>SUM(J73:J78)</f>
        <v>15650</v>
      </c>
      <c r="K79" s="12"/>
      <c r="L79" s="522"/>
      <c r="M79" s="522"/>
      <c r="N79" s="522"/>
      <c r="O79" s="572"/>
    </row>
    <row r="80" spans="1:15" ht="16.5" thickBot="1" x14ac:dyDescent="0.3">
      <c r="A80" s="188">
        <v>1</v>
      </c>
      <c r="B80" s="189" t="s">
        <v>920</v>
      </c>
      <c r="C80" s="225" t="s">
        <v>28</v>
      </c>
      <c r="D80" s="226">
        <v>2</v>
      </c>
      <c r="E80" s="221">
        <v>10</v>
      </c>
      <c r="F80" s="227">
        <v>7500</v>
      </c>
      <c r="G80" s="227">
        <f t="shared" ref="G80:G85" si="56">D80*E80*F80</f>
        <v>150000</v>
      </c>
      <c r="H80" s="347">
        <f>G80/589.84</f>
        <v>254.3062525430625</v>
      </c>
      <c r="I80" s="642">
        <f t="shared" ref="I80:I85" si="57">G80*0.03</f>
        <v>4500</v>
      </c>
      <c r="J80" s="642">
        <f>1600*D80</f>
        <v>3200</v>
      </c>
      <c r="K80" s="642">
        <f t="shared" ref="K80:K85" si="58">G80/D80</f>
        <v>75000</v>
      </c>
      <c r="L80" s="522"/>
      <c r="M80" s="522"/>
      <c r="N80" s="522"/>
      <c r="O80" s="572"/>
    </row>
    <row r="81" spans="1:15" x14ac:dyDescent="0.25">
      <c r="A81" s="188">
        <v>2</v>
      </c>
      <c r="B81" s="189" t="s">
        <v>921</v>
      </c>
      <c r="C81" s="225" t="s">
        <v>28</v>
      </c>
      <c r="D81" s="226">
        <v>1</v>
      </c>
      <c r="E81" s="221">
        <v>10</v>
      </c>
      <c r="F81" s="227">
        <v>3000</v>
      </c>
      <c r="G81" s="227">
        <f t="shared" si="56"/>
        <v>30000</v>
      </c>
      <c r="H81" s="268">
        <f t="shared" ref="H81:H85" si="59">G81/589.84</f>
        <v>50.8612505086125</v>
      </c>
      <c r="I81" s="642">
        <f t="shared" si="57"/>
        <v>900</v>
      </c>
      <c r="J81" s="642">
        <f>1050*D81</f>
        <v>1050</v>
      </c>
      <c r="K81" s="642">
        <f t="shared" si="58"/>
        <v>30000</v>
      </c>
      <c r="L81" s="522"/>
      <c r="M81" s="522"/>
      <c r="N81" s="522"/>
      <c r="O81" s="572"/>
    </row>
    <row r="82" spans="1:15" ht="28.5" x14ac:dyDescent="0.25">
      <c r="A82" s="188">
        <v>3</v>
      </c>
      <c r="B82" s="189" t="s">
        <v>922</v>
      </c>
      <c r="C82" s="225" t="s">
        <v>28</v>
      </c>
      <c r="D82" s="226">
        <v>1</v>
      </c>
      <c r="E82" s="221">
        <v>10</v>
      </c>
      <c r="F82" s="227">
        <v>7500</v>
      </c>
      <c r="G82" s="227">
        <f t="shared" si="56"/>
        <v>75000</v>
      </c>
      <c r="H82" s="268">
        <f t="shared" si="59"/>
        <v>127.15312627153125</v>
      </c>
      <c r="I82" s="642">
        <f t="shared" si="57"/>
        <v>2250</v>
      </c>
      <c r="J82" s="642">
        <f>1600*D82</f>
        <v>1600</v>
      </c>
      <c r="K82" s="642">
        <f t="shared" si="58"/>
        <v>75000</v>
      </c>
      <c r="L82" s="522"/>
      <c r="M82" s="522"/>
      <c r="N82" s="522"/>
      <c r="O82" s="572"/>
    </row>
    <row r="83" spans="1:15" x14ac:dyDescent="0.25">
      <c r="A83" s="188">
        <v>4</v>
      </c>
      <c r="B83" s="189" t="s">
        <v>1364</v>
      </c>
      <c r="C83" s="225" t="s">
        <v>28</v>
      </c>
      <c r="D83" s="226">
        <v>5</v>
      </c>
      <c r="E83" s="221">
        <v>7</v>
      </c>
      <c r="F83" s="227">
        <v>3000</v>
      </c>
      <c r="G83" s="227">
        <f t="shared" si="56"/>
        <v>105000</v>
      </c>
      <c r="H83" s="268">
        <f t="shared" ref="H83" si="60">G83/589.84</f>
        <v>178.01437678014375</v>
      </c>
      <c r="I83" s="642">
        <f t="shared" si="57"/>
        <v>3150</v>
      </c>
      <c r="J83" s="642">
        <f>550*D83</f>
        <v>2750</v>
      </c>
      <c r="K83" s="642">
        <f t="shared" si="58"/>
        <v>21000</v>
      </c>
      <c r="L83" s="522"/>
      <c r="M83" s="522"/>
      <c r="N83" s="522"/>
      <c r="O83" s="572"/>
    </row>
    <row r="84" spans="1:15" x14ac:dyDescent="0.25">
      <c r="A84" s="188">
        <v>5</v>
      </c>
      <c r="B84" s="189" t="s">
        <v>1343</v>
      </c>
      <c r="C84" s="225" t="s">
        <v>28</v>
      </c>
      <c r="D84" s="226">
        <v>1</v>
      </c>
      <c r="E84" s="221">
        <v>10</v>
      </c>
      <c r="F84" s="227">
        <v>8000</v>
      </c>
      <c r="G84" s="227">
        <f t="shared" si="56"/>
        <v>80000</v>
      </c>
      <c r="H84" s="268">
        <f t="shared" si="59"/>
        <v>135.6300013563</v>
      </c>
      <c r="I84" s="642">
        <f t="shared" si="57"/>
        <v>2400</v>
      </c>
      <c r="J84" s="642">
        <f>1600*D84</f>
        <v>1600</v>
      </c>
      <c r="K84" s="642">
        <f t="shared" si="58"/>
        <v>80000</v>
      </c>
      <c r="L84" s="522"/>
      <c r="M84" s="522"/>
      <c r="N84" s="522"/>
      <c r="O84" s="572"/>
    </row>
    <row r="85" spans="1:15" ht="16.5" thickBot="1" x14ac:dyDescent="0.3">
      <c r="A85" s="188">
        <v>6</v>
      </c>
      <c r="B85" s="189" t="s">
        <v>923</v>
      </c>
      <c r="C85" s="225" t="s">
        <v>28</v>
      </c>
      <c r="D85" s="226">
        <v>1</v>
      </c>
      <c r="E85" s="221">
        <v>10</v>
      </c>
      <c r="F85" s="25">
        <v>8000</v>
      </c>
      <c r="G85" s="227">
        <f t="shared" si="56"/>
        <v>80000</v>
      </c>
      <c r="H85" s="268">
        <f t="shared" si="59"/>
        <v>135.6300013563</v>
      </c>
      <c r="I85" s="642">
        <f t="shared" si="57"/>
        <v>2400</v>
      </c>
      <c r="J85" s="642">
        <f>1600*D85</f>
        <v>1600</v>
      </c>
      <c r="K85" s="642">
        <f t="shared" si="58"/>
        <v>80000</v>
      </c>
      <c r="L85" s="522"/>
      <c r="M85" s="522"/>
      <c r="N85" s="522"/>
      <c r="O85" s="572"/>
    </row>
    <row r="86" spans="1:15" ht="18.75" thickBot="1" x14ac:dyDescent="0.3">
      <c r="A86" s="341"/>
      <c r="B86" s="342" t="s">
        <v>1399</v>
      </c>
      <c r="C86" s="343"/>
      <c r="D86" s="343"/>
      <c r="E86" s="343"/>
      <c r="F86" s="344"/>
      <c r="G86" s="344">
        <f>SUM(G80:G85)</f>
        <v>520000</v>
      </c>
      <c r="H86" s="345">
        <f>SUM(H80:H85)</f>
        <v>881.59500881595</v>
      </c>
      <c r="I86" s="263">
        <f>SUM(I80:I85)</f>
        <v>15600</v>
      </c>
      <c r="J86" s="263">
        <f>SUM(J80:J85)</f>
        <v>11800</v>
      </c>
      <c r="K86" s="12"/>
      <c r="L86" s="522"/>
      <c r="M86" s="522"/>
      <c r="N86" s="522"/>
      <c r="O86" s="572"/>
    </row>
    <row r="87" spans="1:15" ht="18.75" thickBot="1" x14ac:dyDescent="0.3">
      <c r="A87" s="242" t="s">
        <v>521</v>
      </c>
      <c r="B87" s="243"/>
      <c r="C87" s="242"/>
      <c r="D87" s="242"/>
      <c r="E87" s="242"/>
      <c r="F87" s="244"/>
      <c r="G87" s="244"/>
      <c r="H87" s="340"/>
      <c r="I87" s="340"/>
      <c r="J87" s="340"/>
      <c r="K87" s="340"/>
      <c r="L87" s="522"/>
      <c r="M87" s="522"/>
      <c r="N87" s="522"/>
      <c r="O87" s="572"/>
    </row>
    <row r="88" spans="1:15" ht="16.5" thickBot="1" x14ac:dyDescent="0.3">
      <c r="A88" s="188">
        <v>1</v>
      </c>
      <c r="B88" s="189" t="s">
        <v>742</v>
      </c>
      <c r="C88" s="225" t="s">
        <v>28</v>
      </c>
      <c r="D88" s="228">
        <v>2</v>
      </c>
      <c r="E88" s="229">
        <v>12</v>
      </c>
      <c r="F88" s="227">
        <v>12500</v>
      </c>
      <c r="G88" s="227">
        <f t="shared" ref="G88:G96" si="61">D88*E88*F88</f>
        <v>300000</v>
      </c>
      <c r="H88" s="347">
        <f t="shared" ref="H88:H96" si="62">G88/589.84</f>
        <v>508.612505086125</v>
      </c>
      <c r="I88" s="642">
        <f t="shared" ref="I88:I92" si="63">G88*0.03</f>
        <v>9000</v>
      </c>
      <c r="J88" s="642">
        <f>1900*D88</f>
        <v>3800</v>
      </c>
      <c r="K88" s="642">
        <f t="shared" ref="K88:K92" si="64">G88/D88</f>
        <v>150000</v>
      </c>
      <c r="L88" s="522"/>
      <c r="M88" s="522"/>
      <c r="N88" s="522"/>
      <c r="O88" s="572"/>
    </row>
    <row r="89" spans="1:15" ht="16.5" thickBot="1" x14ac:dyDescent="0.3">
      <c r="A89" s="188">
        <v>2</v>
      </c>
      <c r="B89" s="189" t="s">
        <v>743</v>
      </c>
      <c r="C89" s="225" t="s">
        <v>28</v>
      </c>
      <c r="D89" s="228">
        <v>1</v>
      </c>
      <c r="E89" s="229">
        <v>10</v>
      </c>
      <c r="F89" s="25">
        <v>10000</v>
      </c>
      <c r="G89" s="227">
        <f t="shared" si="61"/>
        <v>100000</v>
      </c>
      <c r="H89" s="347">
        <f t="shared" si="62"/>
        <v>169.537501695375</v>
      </c>
      <c r="I89" s="642">
        <f t="shared" si="63"/>
        <v>3000</v>
      </c>
      <c r="J89" s="642">
        <f>1600*D89</f>
        <v>1600</v>
      </c>
      <c r="K89" s="642">
        <f t="shared" si="64"/>
        <v>100000</v>
      </c>
      <c r="L89" s="522"/>
      <c r="M89" s="522"/>
      <c r="N89" s="522"/>
      <c r="O89" s="572"/>
    </row>
    <row r="90" spans="1:15" ht="16.5" thickBot="1" x14ac:dyDescent="0.3">
      <c r="A90" s="188">
        <v>3</v>
      </c>
      <c r="B90" s="189" t="s">
        <v>744</v>
      </c>
      <c r="C90" s="225" t="s">
        <v>28</v>
      </c>
      <c r="D90" s="228">
        <v>2</v>
      </c>
      <c r="E90" s="229">
        <v>13</v>
      </c>
      <c r="F90" s="25">
        <v>10000</v>
      </c>
      <c r="G90" s="227">
        <f t="shared" si="61"/>
        <v>260000</v>
      </c>
      <c r="H90" s="347">
        <f t="shared" si="62"/>
        <v>440.797504407975</v>
      </c>
      <c r="I90" s="642">
        <f t="shared" si="63"/>
        <v>7800</v>
      </c>
      <c r="J90" s="642">
        <f>1900*D90</f>
        <v>3800</v>
      </c>
      <c r="K90" s="642">
        <f t="shared" si="64"/>
        <v>130000</v>
      </c>
      <c r="L90" s="522"/>
      <c r="M90" s="522"/>
      <c r="N90" s="522"/>
      <c r="O90" s="572"/>
    </row>
    <row r="91" spans="1:15" ht="16.5" thickBot="1" x14ac:dyDescent="0.3">
      <c r="A91" s="188">
        <v>4</v>
      </c>
      <c r="B91" s="189" t="s">
        <v>745</v>
      </c>
      <c r="C91" s="225" t="s">
        <v>28</v>
      </c>
      <c r="D91" s="228">
        <v>1</v>
      </c>
      <c r="E91" s="229">
        <v>13</v>
      </c>
      <c r="F91" s="25">
        <v>10000</v>
      </c>
      <c r="G91" s="227">
        <f t="shared" si="61"/>
        <v>130000</v>
      </c>
      <c r="H91" s="347">
        <f t="shared" si="62"/>
        <v>220.3987522039875</v>
      </c>
      <c r="I91" s="642">
        <f t="shared" si="63"/>
        <v>3900</v>
      </c>
      <c r="J91" s="642">
        <f t="shared" ref="J91:J92" si="65">1600*D91</f>
        <v>1600</v>
      </c>
      <c r="K91" s="642">
        <f t="shared" si="64"/>
        <v>130000</v>
      </c>
      <c r="L91" s="522"/>
      <c r="M91" s="522"/>
      <c r="N91" s="522"/>
      <c r="O91" s="572"/>
    </row>
    <row r="92" spans="1:15" ht="16.5" thickBot="1" x14ac:dyDescent="0.3">
      <c r="A92" s="188">
        <v>5</v>
      </c>
      <c r="B92" s="189" t="s">
        <v>746</v>
      </c>
      <c r="C92" s="225" t="s">
        <v>28</v>
      </c>
      <c r="D92" s="228">
        <v>1</v>
      </c>
      <c r="E92" s="229">
        <v>10</v>
      </c>
      <c r="F92" s="25">
        <v>10000</v>
      </c>
      <c r="G92" s="227">
        <f t="shared" si="61"/>
        <v>100000</v>
      </c>
      <c r="H92" s="347">
        <f t="shared" si="62"/>
        <v>169.537501695375</v>
      </c>
      <c r="I92" s="642">
        <f t="shared" si="63"/>
        <v>3000</v>
      </c>
      <c r="J92" s="642">
        <f t="shared" si="65"/>
        <v>1600</v>
      </c>
      <c r="K92" s="642">
        <f t="shared" si="64"/>
        <v>100000</v>
      </c>
      <c r="L92" s="522"/>
      <c r="M92" s="522"/>
      <c r="N92" s="522"/>
      <c r="O92" s="572"/>
    </row>
    <row r="93" spans="1:15" ht="16.5" thickBot="1" x14ac:dyDescent="0.3">
      <c r="A93" s="188">
        <v>6</v>
      </c>
      <c r="B93" s="189" t="s">
        <v>747</v>
      </c>
      <c r="C93" s="225" t="s">
        <v>28</v>
      </c>
      <c r="D93" s="228">
        <v>1</v>
      </c>
      <c r="E93" s="229">
        <v>10</v>
      </c>
      <c r="F93" s="25">
        <v>10000</v>
      </c>
      <c r="G93" s="227">
        <f t="shared" si="61"/>
        <v>100000</v>
      </c>
      <c r="H93" s="347">
        <f t="shared" si="62"/>
        <v>169.537501695375</v>
      </c>
      <c r="I93" s="642">
        <f t="shared" ref="I93" si="66">G93*0.03</f>
        <v>3000</v>
      </c>
      <c r="J93" s="642">
        <f t="shared" ref="J93" si="67">1600*D93</f>
        <v>1600</v>
      </c>
      <c r="K93" s="642">
        <f t="shared" ref="K93" si="68">G93/D93</f>
        <v>100000</v>
      </c>
      <c r="L93" s="522"/>
      <c r="M93" s="522"/>
      <c r="N93" s="522"/>
      <c r="O93" s="572"/>
    </row>
    <row r="94" spans="1:15" ht="16.5" thickBot="1" x14ac:dyDescent="0.3">
      <c r="A94" s="188">
        <v>7</v>
      </c>
      <c r="B94" s="189" t="s">
        <v>748</v>
      </c>
      <c r="C94" s="225" t="s">
        <v>28</v>
      </c>
      <c r="D94" s="228">
        <v>2</v>
      </c>
      <c r="E94" s="229">
        <v>10</v>
      </c>
      <c r="F94" s="25">
        <v>10000</v>
      </c>
      <c r="G94" s="227">
        <f t="shared" si="61"/>
        <v>200000</v>
      </c>
      <c r="H94" s="347">
        <f t="shared" si="62"/>
        <v>339.07500339075</v>
      </c>
      <c r="I94" s="642">
        <f t="shared" ref="I94:I96" si="69">G94*0.03</f>
        <v>6000</v>
      </c>
      <c r="J94" s="642">
        <f>1600*D94</f>
        <v>3200</v>
      </c>
      <c r="K94" s="642">
        <f t="shared" ref="K94:K96" si="70">G94/D94</f>
        <v>100000</v>
      </c>
      <c r="L94" s="522"/>
      <c r="M94" s="522"/>
      <c r="N94" s="522"/>
      <c r="O94" s="572"/>
    </row>
    <row r="95" spans="1:15" ht="16.5" thickBot="1" x14ac:dyDescent="0.3">
      <c r="A95" s="188">
        <v>8</v>
      </c>
      <c r="B95" s="354" t="s">
        <v>264</v>
      </c>
      <c r="C95" s="23" t="s">
        <v>28</v>
      </c>
      <c r="D95" s="228">
        <v>2</v>
      </c>
      <c r="E95" s="229">
        <v>10</v>
      </c>
      <c r="F95" s="25">
        <v>10000</v>
      </c>
      <c r="G95" s="227">
        <f t="shared" si="61"/>
        <v>200000</v>
      </c>
      <c r="H95" s="347">
        <f t="shared" si="62"/>
        <v>339.07500339075</v>
      </c>
      <c r="I95" s="642">
        <f t="shared" si="69"/>
        <v>6000</v>
      </c>
      <c r="J95" s="642">
        <f>1050*D95</f>
        <v>2100</v>
      </c>
      <c r="K95" s="642">
        <f t="shared" si="70"/>
        <v>100000</v>
      </c>
      <c r="L95" s="522"/>
      <c r="M95" s="522"/>
      <c r="N95" s="522"/>
      <c r="O95" s="572"/>
    </row>
    <row r="96" spans="1:15" ht="16.5" thickBot="1" x14ac:dyDescent="0.3">
      <c r="A96" s="188">
        <v>9</v>
      </c>
      <c r="B96" s="189" t="s">
        <v>750</v>
      </c>
      <c r="C96" s="225" t="s">
        <v>28</v>
      </c>
      <c r="D96" s="228">
        <v>1</v>
      </c>
      <c r="E96" s="229">
        <v>10</v>
      </c>
      <c r="F96" s="227">
        <v>5000</v>
      </c>
      <c r="G96" s="227">
        <f t="shared" si="61"/>
        <v>50000</v>
      </c>
      <c r="H96" s="347">
        <f t="shared" si="62"/>
        <v>84.7687508476875</v>
      </c>
      <c r="I96" s="642">
        <f t="shared" si="69"/>
        <v>1500</v>
      </c>
      <c r="J96" s="642">
        <f>1600*D96</f>
        <v>1600</v>
      </c>
      <c r="K96" s="642">
        <f t="shared" si="70"/>
        <v>50000</v>
      </c>
      <c r="L96" s="522"/>
      <c r="M96" s="522"/>
      <c r="N96" s="522"/>
      <c r="O96" s="572"/>
    </row>
    <row r="97" spans="1:15" ht="18.75" thickBot="1" x14ac:dyDescent="0.3">
      <c r="A97" s="242" t="s">
        <v>522</v>
      </c>
      <c r="B97" s="243"/>
      <c r="C97" s="242"/>
      <c r="D97" s="242"/>
      <c r="E97" s="242"/>
      <c r="F97" s="244"/>
      <c r="G97" s="244">
        <f>SUM(G88:G96)</f>
        <v>1440000</v>
      </c>
      <c r="H97" s="340">
        <f>SUM(H88:H96)</f>
        <v>2441.3400244133995</v>
      </c>
      <c r="I97" s="263">
        <f>SUM(I88:I96)</f>
        <v>43200</v>
      </c>
      <c r="J97" s="263">
        <f>SUM(J88:J96)</f>
        <v>20900</v>
      </c>
      <c r="K97" s="522"/>
      <c r="L97" s="522"/>
      <c r="M97" s="522"/>
      <c r="N97" s="522"/>
      <c r="O97" s="572"/>
    </row>
    <row r="98" spans="1:15" ht="33" customHeight="1" thickBot="1" x14ac:dyDescent="0.3">
      <c r="A98" s="780" t="s">
        <v>526</v>
      </c>
      <c r="B98" s="781"/>
      <c r="C98" s="781"/>
      <c r="D98" s="781"/>
      <c r="E98" s="783"/>
      <c r="F98" s="348"/>
      <c r="G98" s="349"/>
      <c r="H98" s="350"/>
      <c r="I98" s="522"/>
      <c r="J98" s="522"/>
      <c r="K98" s="522"/>
      <c r="L98" s="522"/>
      <c r="M98" s="522"/>
      <c r="N98" s="522"/>
      <c r="O98" s="572"/>
    </row>
    <row r="99" spans="1:15" ht="18" x14ac:dyDescent="0.25">
      <c r="A99" s="233"/>
      <c r="B99" s="234" t="s">
        <v>524</v>
      </c>
      <c r="C99" s="234"/>
      <c r="D99" s="234"/>
      <c r="E99" s="234"/>
      <c r="F99" s="234"/>
      <c r="G99" s="234"/>
      <c r="H99" s="234"/>
      <c r="I99" s="522"/>
      <c r="J99" s="522"/>
      <c r="K99" s="522"/>
      <c r="L99" s="522"/>
      <c r="M99" s="522"/>
      <c r="N99" s="522"/>
      <c r="O99" s="572"/>
    </row>
    <row r="100" spans="1:15" ht="18.75" thickBot="1" x14ac:dyDescent="0.3">
      <c r="A100" s="205"/>
      <c r="B100" s="205" t="s">
        <v>451</v>
      </c>
      <c r="C100" s="205"/>
      <c r="D100" s="205"/>
      <c r="E100" s="205"/>
      <c r="F100" s="205"/>
      <c r="G100" s="205"/>
      <c r="H100" s="355"/>
      <c r="I100" s="522"/>
      <c r="J100" s="522"/>
      <c r="K100" s="12"/>
      <c r="L100" s="522"/>
      <c r="M100" s="522"/>
      <c r="N100" s="522"/>
      <c r="O100" s="572"/>
    </row>
    <row r="101" spans="1:15" ht="16.5" thickBot="1" x14ac:dyDescent="0.3">
      <c r="A101" s="22">
        <v>1</v>
      </c>
      <c r="B101" s="26" t="s">
        <v>1293</v>
      </c>
      <c r="C101" s="23" t="s">
        <v>83</v>
      </c>
      <c r="D101" s="19">
        <v>0</v>
      </c>
      <c r="E101" s="23">
        <v>5</v>
      </c>
      <c r="F101" s="25">
        <v>10000</v>
      </c>
      <c r="G101" s="227">
        <f t="shared" ref="G101:G121" si="71">D101*E101*F101</f>
        <v>0</v>
      </c>
      <c r="H101" s="347">
        <f t="shared" ref="H101:H121" si="72">G101/589.84</f>
        <v>0</v>
      </c>
      <c r="I101" s="522"/>
      <c r="J101" s="522"/>
      <c r="K101" s="522"/>
      <c r="L101" s="522"/>
      <c r="M101" s="522"/>
      <c r="N101" s="522"/>
      <c r="O101" s="572"/>
    </row>
    <row r="102" spans="1:15" ht="16.5" thickBot="1" x14ac:dyDescent="0.3">
      <c r="A102" s="22">
        <v>2</v>
      </c>
      <c r="B102" s="26" t="s">
        <v>1294</v>
      </c>
      <c r="C102" s="23" t="s">
        <v>30</v>
      </c>
      <c r="D102" s="19">
        <f>22*3*10</f>
        <v>660</v>
      </c>
      <c r="E102" s="23">
        <v>1</v>
      </c>
      <c r="F102" s="25">
        <v>1000</v>
      </c>
      <c r="G102" s="227">
        <f t="shared" si="71"/>
        <v>660000</v>
      </c>
      <c r="H102" s="347">
        <f t="shared" si="72"/>
        <v>1118.9475111894751</v>
      </c>
      <c r="I102" s="522"/>
      <c r="J102" s="522"/>
      <c r="K102" s="522"/>
      <c r="L102" s="522"/>
      <c r="M102" s="522"/>
      <c r="N102" s="522"/>
      <c r="O102" s="572"/>
    </row>
    <row r="103" spans="1:15" ht="16.5" thickBot="1" x14ac:dyDescent="0.3">
      <c r="A103" s="22">
        <v>3</v>
      </c>
      <c r="B103" s="26" t="s">
        <v>1295</v>
      </c>
      <c r="C103" s="23" t="s">
        <v>83</v>
      </c>
      <c r="D103" s="19">
        <v>11</v>
      </c>
      <c r="E103" s="23">
        <v>10</v>
      </c>
      <c r="F103" s="25">
        <v>10000</v>
      </c>
      <c r="G103" s="227">
        <f t="shared" si="71"/>
        <v>1100000</v>
      </c>
      <c r="H103" s="347">
        <f t="shared" si="72"/>
        <v>1864.9125186491251</v>
      </c>
      <c r="I103" s="642">
        <f t="shared" ref="I103" si="73">G103*0.03</f>
        <v>33000</v>
      </c>
      <c r="J103" s="642">
        <f>1600*D103</f>
        <v>17600</v>
      </c>
      <c r="K103" s="642">
        <f t="shared" ref="K103" si="74">G103/D103</f>
        <v>100000</v>
      </c>
      <c r="L103" s="522"/>
      <c r="M103" s="522"/>
      <c r="N103" s="522"/>
      <c r="O103" s="572"/>
    </row>
    <row r="104" spans="1:15" ht="16.5" thickBot="1" x14ac:dyDescent="0.3">
      <c r="A104" s="22">
        <v>4</v>
      </c>
      <c r="B104" s="26" t="s">
        <v>1296</v>
      </c>
      <c r="C104" s="23" t="s">
        <v>30</v>
      </c>
      <c r="D104" s="19">
        <f>11*3*10</f>
        <v>330</v>
      </c>
      <c r="E104" s="23">
        <v>1</v>
      </c>
      <c r="F104" s="25">
        <v>1000</v>
      </c>
      <c r="G104" s="227">
        <f t="shared" si="71"/>
        <v>330000</v>
      </c>
      <c r="H104" s="347">
        <f t="shared" si="72"/>
        <v>559.47375559473755</v>
      </c>
      <c r="I104" s="522"/>
      <c r="J104" s="522"/>
      <c r="K104" s="522"/>
      <c r="L104" s="522"/>
      <c r="M104" s="522"/>
      <c r="N104" s="522"/>
      <c r="O104" s="572"/>
    </row>
    <row r="105" spans="1:15" ht="16.5" thickBot="1" x14ac:dyDescent="0.3">
      <c r="A105" s="22">
        <v>5</v>
      </c>
      <c r="B105" s="26" t="s">
        <v>1297</v>
      </c>
      <c r="C105" s="23" t="s">
        <v>84</v>
      </c>
      <c r="D105" s="19">
        <v>0</v>
      </c>
      <c r="E105" s="23">
        <v>10</v>
      </c>
      <c r="F105" s="25">
        <v>75000</v>
      </c>
      <c r="G105" s="227">
        <f t="shared" si="71"/>
        <v>0</v>
      </c>
      <c r="H105" s="347">
        <f t="shared" si="72"/>
        <v>0</v>
      </c>
      <c r="I105" s="522"/>
      <c r="J105" s="522"/>
      <c r="K105" s="522"/>
      <c r="L105" s="522"/>
      <c r="M105" s="522"/>
      <c r="N105" s="522"/>
      <c r="O105" s="572"/>
    </row>
    <row r="106" spans="1:15" ht="16.5" thickBot="1" x14ac:dyDescent="0.3">
      <c r="A106" s="22">
        <v>6</v>
      </c>
      <c r="B106" s="26" t="s">
        <v>1349</v>
      </c>
      <c r="C106" s="23" t="s">
        <v>1348</v>
      </c>
      <c r="D106" s="19">
        <v>0</v>
      </c>
      <c r="E106" s="23">
        <v>1</v>
      </c>
      <c r="F106" s="25">
        <v>1000</v>
      </c>
      <c r="G106" s="227">
        <f t="shared" si="71"/>
        <v>0</v>
      </c>
      <c r="H106" s="347">
        <f t="shared" si="72"/>
        <v>0</v>
      </c>
      <c r="I106" s="522"/>
      <c r="J106" s="522"/>
      <c r="K106" s="522"/>
      <c r="L106" s="522"/>
      <c r="M106" s="522"/>
      <c r="N106" s="522"/>
      <c r="O106" s="572"/>
    </row>
    <row r="107" spans="1:15" ht="16.5" thickBot="1" x14ac:dyDescent="0.3">
      <c r="A107" s="22">
        <v>7</v>
      </c>
      <c r="B107" s="26" t="s">
        <v>1350</v>
      </c>
      <c r="C107" s="23" t="s">
        <v>17</v>
      </c>
      <c r="D107" s="19">
        <f>10*1*10</f>
        <v>100</v>
      </c>
      <c r="E107" s="23">
        <v>1</v>
      </c>
      <c r="F107" s="25">
        <v>1000</v>
      </c>
      <c r="G107" s="227">
        <f t="shared" si="71"/>
        <v>100000</v>
      </c>
      <c r="H107" s="347">
        <f t="shared" si="72"/>
        <v>169.537501695375</v>
      </c>
      <c r="I107" s="522"/>
      <c r="J107" s="522"/>
      <c r="K107" s="522"/>
      <c r="L107" s="522"/>
      <c r="M107" s="522"/>
      <c r="N107" s="522"/>
      <c r="O107" s="572"/>
    </row>
    <row r="108" spans="1:15" ht="16.5" thickBot="1" x14ac:dyDescent="0.3">
      <c r="A108" s="22">
        <v>8</v>
      </c>
      <c r="B108" s="26" t="s">
        <v>1299</v>
      </c>
      <c r="C108" s="23" t="s">
        <v>1280</v>
      </c>
      <c r="D108" s="19">
        <v>1</v>
      </c>
      <c r="E108" s="23">
        <v>10</v>
      </c>
      <c r="F108" s="25">
        <f>75000+225000</f>
        <v>300000</v>
      </c>
      <c r="G108" s="227">
        <f t="shared" si="71"/>
        <v>3000000</v>
      </c>
      <c r="H108" s="347">
        <f t="shared" si="72"/>
        <v>5086.1250508612502</v>
      </c>
      <c r="I108" s="523"/>
      <c r="J108" s="522"/>
      <c r="K108" s="522"/>
      <c r="L108" s="522"/>
      <c r="M108" s="522"/>
      <c r="N108" s="522"/>
      <c r="O108" s="572"/>
    </row>
    <row r="109" spans="1:15" ht="16.5" thickBot="1" x14ac:dyDescent="0.3">
      <c r="A109" s="22">
        <v>9</v>
      </c>
      <c r="B109" s="26" t="s">
        <v>1442</v>
      </c>
      <c r="C109" s="23" t="s">
        <v>30</v>
      </c>
      <c r="D109" s="17">
        <v>700</v>
      </c>
      <c r="E109" s="17">
        <v>1</v>
      </c>
      <c r="F109" s="730">
        <v>1000</v>
      </c>
      <c r="G109" s="227">
        <f t="shared" si="71"/>
        <v>700000</v>
      </c>
      <c r="H109" s="347">
        <f t="shared" si="72"/>
        <v>1186.7625118676251</v>
      </c>
      <c r="I109" s="523"/>
      <c r="J109" s="522"/>
      <c r="K109" s="522"/>
      <c r="L109" s="522"/>
      <c r="M109" s="522"/>
      <c r="N109" s="522"/>
      <c r="O109" s="572"/>
    </row>
    <row r="110" spans="1:15" ht="16.5" thickBot="1" x14ac:dyDescent="0.3">
      <c r="A110" s="22">
        <v>10</v>
      </c>
      <c r="B110" s="26" t="s">
        <v>1445</v>
      </c>
      <c r="C110" s="23" t="s">
        <v>83</v>
      </c>
      <c r="D110" s="19">
        <v>0</v>
      </c>
      <c r="E110" s="23">
        <v>10</v>
      </c>
      <c r="F110" s="25">
        <v>10000</v>
      </c>
      <c r="G110" s="227">
        <f t="shared" si="71"/>
        <v>0</v>
      </c>
      <c r="H110" s="347">
        <f t="shared" si="72"/>
        <v>0</v>
      </c>
      <c r="I110" s="523"/>
      <c r="J110" s="522"/>
      <c r="K110" s="522"/>
      <c r="L110" s="522"/>
      <c r="M110" s="522"/>
      <c r="N110" s="522"/>
      <c r="O110" s="572"/>
    </row>
    <row r="111" spans="1:15" ht="16.5" thickBot="1" x14ac:dyDescent="0.3">
      <c r="A111" s="22">
        <v>11</v>
      </c>
      <c r="B111" s="26" t="s">
        <v>1347</v>
      </c>
      <c r="C111" s="23" t="s">
        <v>30</v>
      </c>
      <c r="D111" s="19">
        <f>11*3*10</f>
        <v>330</v>
      </c>
      <c r="E111" s="23">
        <v>1</v>
      </c>
      <c r="F111" s="25">
        <v>1000</v>
      </c>
      <c r="G111" s="227">
        <f t="shared" ref="G111" si="75">D111*E111*F111</f>
        <v>330000</v>
      </c>
      <c r="H111" s="347">
        <f t="shared" ref="H111" si="76">G111/589.84</f>
        <v>559.47375559473755</v>
      </c>
      <c r="I111" s="523"/>
      <c r="J111" s="522"/>
      <c r="K111" s="522"/>
      <c r="L111" s="522"/>
      <c r="M111" s="522"/>
      <c r="N111" s="522"/>
      <c r="O111" s="572"/>
    </row>
    <row r="112" spans="1:15" ht="16.5" thickBot="1" x14ac:dyDescent="0.3">
      <c r="A112" s="22">
        <v>12</v>
      </c>
      <c r="B112" s="26" t="s">
        <v>1443</v>
      </c>
      <c r="C112" s="23" t="s">
        <v>1301</v>
      </c>
      <c r="D112" s="19">
        <f>+D109/25</f>
        <v>28</v>
      </c>
      <c r="E112" s="23">
        <v>1</v>
      </c>
      <c r="F112" s="25">
        <v>3000</v>
      </c>
      <c r="G112" s="227">
        <f t="shared" si="71"/>
        <v>84000</v>
      </c>
      <c r="H112" s="347">
        <f t="shared" si="72"/>
        <v>142.41150142411502</v>
      </c>
      <c r="I112" s="523"/>
      <c r="J112" s="522"/>
      <c r="K112" s="522"/>
      <c r="L112" s="522"/>
      <c r="M112" s="522"/>
      <c r="N112" s="522"/>
      <c r="O112" s="572"/>
    </row>
    <row r="113" spans="1:15" ht="29.25" thickBot="1" x14ac:dyDescent="0.3">
      <c r="A113" s="22">
        <v>13</v>
      </c>
      <c r="B113" s="26" t="s">
        <v>1427</v>
      </c>
      <c r="C113" s="23" t="s">
        <v>1354</v>
      </c>
      <c r="D113" s="23">
        <v>0</v>
      </c>
      <c r="E113" s="230">
        <v>2</v>
      </c>
      <c r="F113" s="21">
        <v>35000</v>
      </c>
      <c r="G113" s="227">
        <f t="shared" si="71"/>
        <v>0</v>
      </c>
      <c r="H113" s="347">
        <f t="shared" si="72"/>
        <v>0</v>
      </c>
      <c r="I113" s="523"/>
      <c r="J113" s="522"/>
      <c r="K113" s="522"/>
      <c r="L113" s="522"/>
      <c r="M113" s="522"/>
      <c r="N113" s="522"/>
      <c r="O113" s="572"/>
    </row>
    <row r="114" spans="1:15" ht="28.15" customHeight="1" thickBot="1" x14ac:dyDescent="0.3">
      <c r="A114" s="22">
        <v>14</v>
      </c>
      <c r="B114" s="26" t="s">
        <v>1426</v>
      </c>
      <c r="C114" s="23" t="s">
        <v>1354</v>
      </c>
      <c r="D114" s="226">
        <v>0</v>
      </c>
      <c r="E114" s="225">
        <v>4</v>
      </c>
      <c r="F114" s="21">
        <v>75000</v>
      </c>
      <c r="G114" s="227">
        <f t="shared" si="71"/>
        <v>0</v>
      </c>
      <c r="H114" s="347">
        <f t="shared" si="72"/>
        <v>0</v>
      </c>
      <c r="I114" s="523"/>
      <c r="J114" s="522"/>
      <c r="K114" s="522"/>
      <c r="L114" s="522"/>
      <c r="M114" s="522"/>
      <c r="N114" s="522"/>
      <c r="O114" s="572"/>
    </row>
    <row r="115" spans="1:15" ht="16.5" thickBot="1" x14ac:dyDescent="0.3">
      <c r="A115" s="22">
        <v>15</v>
      </c>
      <c r="B115" s="26" t="s">
        <v>1428</v>
      </c>
      <c r="C115" s="23" t="s">
        <v>1354</v>
      </c>
      <c r="D115" s="226">
        <v>0</v>
      </c>
      <c r="E115" s="225">
        <v>2</v>
      </c>
      <c r="F115" s="21">
        <v>30000</v>
      </c>
      <c r="G115" s="227">
        <f>D115*E115*F115</f>
        <v>0</v>
      </c>
      <c r="H115" s="347">
        <f t="shared" si="72"/>
        <v>0</v>
      </c>
      <c r="I115" s="523"/>
      <c r="J115" s="522"/>
      <c r="K115" s="522"/>
      <c r="L115" s="522"/>
      <c r="M115" s="522"/>
      <c r="N115" s="522"/>
      <c r="O115" s="572"/>
    </row>
    <row r="116" spans="1:15" ht="29.25" thickBot="1" x14ac:dyDescent="0.3">
      <c r="A116" s="22">
        <v>16</v>
      </c>
      <c r="B116" s="26" t="s">
        <v>1430</v>
      </c>
      <c r="C116" s="23" t="s">
        <v>1354</v>
      </c>
      <c r="D116" s="226">
        <v>0</v>
      </c>
      <c r="E116" s="225">
        <v>2</v>
      </c>
      <c r="F116" s="21">
        <v>30000</v>
      </c>
      <c r="G116" s="227">
        <f>D116*E116*F116</f>
        <v>0</v>
      </c>
      <c r="H116" s="347">
        <f t="shared" si="72"/>
        <v>0</v>
      </c>
      <c r="I116" s="523"/>
      <c r="J116" s="522"/>
      <c r="K116" s="522"/>
      <c r="L116" s="522"/>
      <c r="M116" s="522"/>
      <c r="N116" s="522"/>
      <c r="O116" s="572"/>
    </row>
    <row r="117" spans="1:15" ht="29.25" thickBot="1" x14ac:dyDescent="0.3">
      <c r="A117" s="22">
        <v>17</v>
      </c>
      <c r="B117" s="26" t="s">
        <v>1429</v>
      </c>
      <c r="C117" s="23" t="s">
        <v>85</v>
      </c>
      <c r="D117" s="226">
        <v>0</v>
      </c>
      <c r="E117" s="225">
        <v>2</v>
      </c>
      <c r="F117" s="21">
        <v>30000</v>
      </c>
      <c r="G117" s="227">
        <f t="shared" si="71"/>
        <v>0</v>
      </c>
      <c r="H117" s="347">
        <f t="shared" si="72"/>
        <v>0</v>
      </c>
      <c r="I117" s="523"/>
      <c r="J117" s="522"/>
      <c r="K117" s="522"/>
      <c r="L117" s="522"/>
      <c r="M117" s="522"/>
      <c r="N117" s="522"/>
      <c r="O117" s="572"/>
    </row>
    <row r="118" spans="1:15" ht="16.5" thickBot="1" x14ac:dyDescent="0.3">
      <c r="A118" s="22">
        <v>18</v>
      </c>
      <c r="B118" s="26" t="s">
        <v>1303</v>
      </c>
      <c r="C118" s="23" t="s">
        <v>85</v>
      </c>
      <c r="D118" s="226">
        <v>0</v>
      </c>
      <c r="E118" s="225">
        <v>2</v>
      </c>
      <c r="F118" s="21">
        <v>6000</v>
      </c>
      <c r="G118" s="227">
        <f t="shared" si="71"/>
        <v>0</v>
      </c>
      <c r="H118" s="347">
        <f t="shared" si="72"/>
        <v>0</v>
      </c>
      <c r="I118" s="523"/>
      <c r="J118" s="522"/>
      <c r="K118" s="522"/>
      <c r="L118" s="522"/>
      <c r="M118" s="522"/>
      <c r="N118" s="522"/>
      <c r="O118" s="572"/>
    </row>
    <row r="119" spans="1:15" ht="16.5" thickBot="1" x14ac:dyDescent="0.3">
      <c r="A119" s="22">
        <v>19</v>
      </c>
      <c r="B119" s="26" t="s">
        <v>1351</v>
      </c>
      <c r="C119" s="23" t="s">
        <v>17</v>
      </c>
      <c r="D119" s="226">
        <v>20</v>
      </c>
      <c r="E119" s="225">
        <v>10</v>
      </c>
      <c r="F119" s="25">
        <v>1000</v>
      </c>
      <c r="G119" s="227">
        <f t="shared" si="71"/>
        <v>200000</v>
      </c>
      <c r="H119" s="347">
        <f t="shared" si="72"/>
        <v>339.07500339075</v>
      </c>
      <c r="I119" s="523"/>
      <c r="J119" s="522"/>
      <c r="K119" s="522"/>
      <c r="L119" s="522"/>
      <c r="M119" s="522"/>
      <c r="N119" s="522"/>
      <c r="O119" s="572"/>
    </row>
    <row r="120" spans="1:15" ht="16.5" thickBot="1" x14ac:dyDescent="0.3">
      <c r="A120" s="22">
        <v>20</v>
      </c>
      <c r="B120" s="26" t="s">
        <v>1352</v>
      </c>
      <c r="C120" s="23" t="s">
        <v>1355</v>
      </c>
      <c r="D120" s="226">
        <v>12</v>
      </c>
      <c r="E120" s="225">
        <v>1</v>
      </c>
      <c r="F120" s="21">
        <v>1500</v>
      </c>
      <c r="G120" s="227">
        <f t="shared" si="71"/>
        <v>18000</v>
      </c>
      <c r="H120" s="347">
        <f t="shared" si="72"/>
        <v>30.516750305167502</v>
      </c>
      <c r="I120" s="523"/>
      <c r="J120" s="522"/>
      <c r="K120" s="522"/>
      <c r="L120" s="522"/>
      <c r="M120" s="522"/>
      <c r="N120" s="522"/>
      <c r="O120" s="572"/>
    </row>
    <row r="121" spans="1:15" ht="16.5" thickBot="1" x14ac:dyDescent="0.3">
      <c r="A121" s="22">
        <v>21</v>
      </c>
      <c r="B121" s="26" t="s">
        <v>1353</v>
      </c>
      <c r="C121" s="23" t="s">
        <v>1353</v>
      </c>
      <c r="D121" s="226">
        <v>0</v>
      </c>
      <c r="E121" s="225">
        <v>7</v>
      </c>
      <c r="F121" s="21">
        <v>10000</v>
      </c>
      <c r="G121" s="227">
        <f t="shared" si="71"/>
        <v>0</v>
      </c>
      <c r="H121" s="347">
        <f t="shared" si="72"/>
        <v>0</v>
      </c>
      <c r="I121" s="523"/>
      <c r="J121" s="522"/>
      <c r="K121" s="522"/>
      <c r="L121" s="522"/>
      <c r="M121" s="522"/>
      <c r="N121" s="522"/>
      <c r="O121" s="572"/>
    </row>
    <row r="122" spans="1:15" ht="19.149999999999999" customHeight="1" thickBot="1" x14ac:dyDescent="0.3">
      <c r="A122" s="780" t="s">
        <v>525</v>
      </c>
      <c r="B122" s="781"/>
      <c r="C122" s="781"/>
      <c r="D122" s="781"/>
      <c r="E122" s="783"/>
      <c r="F122" s="348"/>
      <c r="G122" s="349">
        <f>SUM(G101:G121)</f>
        <v>6522000</v>
      </c>
      <c r="H122" s="350">
        <f>SUM(H101:H121)</f>
        <v>11057.235860572358</v>
      </c>
      <c r="I122" s="263">
        <f>I103</f>
        <v>33000</v>
      </c>
      <c r="J122" s="263">
        <f>J103</f>
        <v>17600</v>
      </c>
      <c r="K122" s="522"/>
      <c r="L122" s="522"/>
      <c r="M122" s="522"/>
      <c r="N122" s="522"/>
      <c r="O122" s="572"/>
    </row>
    <row r="123" spans="1:15" ht="18" x14ac:dyDescent="0.25">
      <c r="A123" s="233"/>
      <c r="B123" s="234" t="s">
        <v>399</v>
      </c>
      <c r="C123" s="234"/>
      <c r="D123" s="234"/>
      <c r="E123" s="234"/>
      <c r="F123" s="234"/>
      <c r="G123" s="234"/>
      <c r="H123" s="234"/>
      <c r="I123" s="523"/>
      <c r="J123" s="522"/>
      <c r="K123" s="522"/>
      <c r="L123" s="522"/>
      <c r="M123" s="522"/>
      <c r="N123" s="522"/>
      <c r="O123" s="572"/>
    </row>
    <row r="124" spans="1:15" ht="18.75" thickBot="1" x14ac:dyDescent="0.3">
      <c r="A124" s="205"/>
      <c r="B124" s="205" t="s">
        <v>400</v>
      </c>
      <c r="C124" s="205"/>
      <c r="D124" s="205"/>
      <c r="E124" s="205"/>
      <c r="F124" s="205"/>
      <c r="G124" s="205"/>
      <c r="H124" s="355"/>
      <c r="I124" s="523"/>
      <c r="J124" s="522"/>
      <c r="K124" s="522"/>
      <c r="L124" s="522"/>
      <c r="M124" s="522"/>
      <c r="N124" s="522"/>
      <c r="O124" s="572"/>
    </row>
    <row r="125" spans="1:15" ht="27.75" customHeight="1" thickBot="1" x14ac:dyDescent="0.3">
      <c r="A125" s="188">
        <v>1</v>
      </c>
      <c r="B125" s="189" t="s">
        <v>934</v>
      </c>
      <c r="C125" s="225" t="s">
        <v>28</v>
      </c>
      <c r="D125" s="226">
        <v>1</v>
      </c>
      <c r="E125" s="226">
        <v>3</v>
      </c>
      <c r="F125" s="227">
        <v>5000</v>
      </c>
      <c r="G125" s="227">
        <f>D125*E125*F125</f>
        <v>15000</v>
      </c>
      <c r="H125" s="347">
        <f t="shared" ref="H125:H151" si="77">G125/589.84</f>
        <v>25.43062525430625</v>
      </c>
      <c r="I125" s="642">
        <f t="shared" ref="I125:I147" si="78">G125*0.03</f>
        <v>450</v>
      </c>
      <c r="J125" s="642">
        <f>450*D125</f>
        <v>450</v>
      </c>
      <c r="K125" s="642">
        <f t="shared" ref="K125:K147" si="79">G125/D125</f>
        <v>15000</v>
      </c>
      <c r="L125" s="522"/>
      <c r="M125" s="522"/>
      <c r="N125" s="522"/>
      <c r="O125" s="572"/>
    </row>
    <row r="126" spans="1:15" ht="27.75" customHeight="1" thickBot="1" x14ac:dyDescent="0.3">
      <c r="A126" s="188">
        <v>2</v>
      </c>
      <c r="B126" s="189" t="s">
        <v>933</v>
      </c>
      <c r="C126" s="225" t="s">
        <v>28</v>
      </c>
      <c r="D126" s="226">
        <v>1</v>
      </c>
      <c r="E126" s="226">
        <v>3</v>
      </c>
      <c r="F126" s="227">
        <v>8000</v>
      </c>
      <c r="G126" s="227">
        <f t="shared" ref="G126:G151" si="80">D126*E126*F126</f>
        <v>24000</v>
      </c>
      <c r="H126" s="347">
        <f t="shared" si="77"/>
        <v>40.689000406890003</v>
      </c>
      <c r="I126" s="642">
        <f t="shared" si="78"/>
        <v>720</v>
      </c>
      <c r="J126" s="642">
        <f>550*D126</f>
        <v>550</v>
      </c>
      <c r="K126" s="642">
        <f t="shared" si="79"/>
        <v>24000</v>
      </c>
      <c r="L126" s="522"/>
      <c r="M126" s="522"/>
      <c r="N126" s="522"/>
      <c r="O126" s="572"/>
    </row>
    <row r="127" spans="1:15" ht="27.75" customHeight="1" thickBot="1" x14ac:dyDescent="0.3">
      <c r="A127" s="188">
        <v>3</v>
      </c>
      <c r="B127" s="189" t="s">
        <v>932</v>
      </c>
      <c r="C127" s="225" t="s">
        <v>28</v>
      </c>
      <c r="D127" s="226">
        <v>1</v>
      </c>
      <c r="E127" s="226">
        <v>3</v>
      </c>
      <c r="F127" s="227">
        <v>8000</v>
      </c>
      <c r="G127" s="227">
        <f t="shared" si="80"/>
        <v>24000</v>
      </c>
      <c r="H127" s="347">
        <f t="shared" si="77"/>
        <v>40.689000406890003</v>
      </c>
      <c r="I127" s="642">
        <f t="shared" si="78"/>
        <v>720</v>
      </c>
      <c r="J127" s="642">
        <f t="shared" ref="J127:J135" si="81">550*D127</f>
        <v>550</v>
      </c>
      <c r="K127" s="642">
        <f t="shared" si="79"/>
        <v>24000</v>
      </c>
      <c r="L127" s="522"/>
      <c r="M127" s="522"/>
      <c r="N127" s="522"/>
      <c r="O127" s="572"/>
    </row>
    <row r="128" spans="1:15" ht="27.75" customHeight="1" thickBot="1" x14ac:dyDescent="0.3">
      <c r="A128" s="188">
        <v>4</v>
      </c>
      <c r="B128" s="189" t="s">
        <v>931</v>
      </c>
      <c r="C128" s="225" t="s">
        <v>28</v>
      </c>
      <c r="D128" s="226">
        <v>1</v>
      </c>
      <c r="E128" s="226">
        <v>3</v>
      </c>
      <c r="F128" s="227">
        <v>8000</v>
      </c>
      <c r="G128" s="227">
        <f t="shared" si="80"/>
        <v>24000</v>
      </c>
      <c r="H128" s="347">
        <f t="shared" si="77"/>
        <v>40.689000406890003</v>
      </c>
      <c r="I128" s="642">
        <f t="shared" si="78"/>
        <v>720</v>
      </c>
      <c r="J128" s="642">
        <f t="shared" si="81"/>
        <v>550</v>
      </c>
      <c r="K128" s="642">
        <f t="shared" si="79"/>
        <v>24000</v>
      </c>
      <c r="L128" s="522"/>
      <c r="M128" s="522"/>
      <c r="N128" s="522"/>
      <c r="O128" s="572"/>
    </row>
    <row r="129" spans="1:15" ht="27.75" customHeight="1" thickBot="1" x14ac:dyDescent="0.3">
      <c r="A129" s="188">
        <v>5</v>
      </c>
      <c r="B129" s="189" t="s">
        <v>930</v>
      </c>
      <c r="C129" s="225" t="s">
        <v>28</v>
      </c>
      <c r="D129" s="226">
        <v>1</v>
      </c>
      <c r="E129" s="226">
        <v>3</v>
      </c>
      <c r="F129" s="227">
        <v>8000</v>
      </c>
      <c r="G129" s="227">
        <f t="shared" si="80"/>
        <v>24000</v>
      </c>
      <c r="H129" s="347">
        <f t="shared" si="77"/>
        <v>40.689000406890003</v>
      </c>
      <c r="I129" s="642">
        <f t="shared" si="78"/>
        <v>720</v>
      </c>
      <c r="J129" s="642">
        <f t="shared" si="81"/>
        <v>550</v>
      </c>
      <c r="K129" s="642">
        <f t="shared" si="79"/>
        <v>24000</v>
      </c>
      <c r="L129" s="522"/>
      <c r="M129" s="522"/>
      <c r="N129" s="522"/>
      <c r="O129" s="572"/>
    </row>
    <row r="130" spans="1:15" ht="27.75" customHeight="1" thickBot="1" x14ac:dyDescent="0.3">
      <c r="A130" s="188">
        <v>6</v>
      </c>
      <c r="B130" s="189" t="s">
        <v>929</v>
      </c>
      <c r="C130" s="225" t="s">
        <v>28</v>
      </c>
      <c r="D130" s="226">
        <v>1</v>
      </c>
      <c r="E130" s="226">
        <v>3</v>
      </c>
      <c r="F130" s="227">
        <v>8000</v>
      </c>
      <c r="G130" s="227">
        <f t="shared" si="80"/>
        <v>24000</v>
      </c>
      <c r="H130" s="347">
        <f t="shared" si="77"/>
        <v>40.689000406890003</v>
      </c>
      <c r="I130" s="642">
        <f t="shared" si="78"/>
        <v>720</v>
      </c>
      <c r="J130" s="642">
        <f t="shared" si="81"/>
        <v>550</v>
      </c>
      <c r="K130" s="642">
        <f t="shared" si="79"/>
        <v>24000</v>
      </c>
      <c r="L130" s="522"/>
      <c r="M130" s="522"/>
      <c r="N130" s="522"/>
      <c r="O130" s="572"/>
    </row>
    <row r="131" spans="1:15" ht="27.75" customHeight="1" thickBot="1" x14ac:dyDescent="0.3">
      <c r="A131" s="188">
        <v>7</v>
      </c>
      <c r="B131" s="189" t="s">
        <v>928</v>
      </c>
      <c r="C131" s="225" t="s">
        <v>28</v>
      </c>
      <c r="D131" s="226">
        <v>1</v>
      </c>
      <c r="E131" s="226">
        <v>3</v>
      </c>
      <c r="F131" s="227">
        <v>8000</v>
      </c>
      <c r="G131" s="227">
        <f t="shared" si="80"/>
        <v>24000</v>
      </c>
      <c r="H131" s="347">
        <f t="shared" si="77"/>
        <v>40.689000406890003</v>
      </c>
      <c r="I131" s="642">
        <f t="shared" si="78"/>
        <v>720</v>
      </c>
      <c r="J131" s="642">
        <f t="shared" si="81"/>
        <v>550</v>
      </c>
      <c r="K131" s="642">
        <f t="shared" si="79"/>
        <v>24000</v>
      </c>
      <c r="L131" s="522"/>
      <c r="M131" s="522"/>
      <c r="N131" s="522"/>
      <c r="O131" s="572"/>
    </row>
    <row r="132" spans="1:15" ht="27.75" customHeight="1" thickBot="1" x14ac:dyDescent="0.3">
      <c r="A132" s="188">
        <v>8</v>
      </c>
      <c r="B132" s="189" t="s">
        <v>927</v>
      </c>
      <c r="C132" s="225" t="s">
        <v>28</v>
      </c>
      <c r="D132" s="226">
        <v>1</v>
      </c>
      <c r="E132" s="226">
        <v>3</v>
      </c>
      <c r="F132" s="227">
        <v>8000</v>
      </c>
      <c r="G132" s="227">
        <f t="shared" si="80"/>
        <v>24000</v>
      </c>
      <c r="H132" s="347">
        <f t="shared" si="77"/>
        <v>40.689000406890003</v>
      </c>
      <c r="I132" s="642">
        <f t="shared" si="78"/>
        <v>720</v>
      </c>
      <c r="J132" s="642">
        <f t="shared" si="81"/>
        <v>550</v>
      </c>
      <c r="K132" s="642">
        <f t="shared" si="79"/>
        <v>24000</v>
      </c>
      <c r="L132" s="522"/>
      <c r="M132" s="522"/>
      <c r="N132" s="522"/>
      <c r="O132" s="572"/>
    </row>
    <row r="133" spans="1:15" ht="27.75" customHeight="1" thickBot="1" x14ac:dyDescent="0.3">
      <c r="A133" s="188">
        <v>9</v>
      </c>
      <c r="B133" s="189" t="s">
        <v>926</v>
      </c>
      <c r="C133" s="225" t="s">
        <v>28</v>
      </c>
      <c r="D133" s="226">
        <v>1</v>
      </c>
      <c r="E133" s="226">
        <v>3</v>
      </c>
      <c r="F133" s="227">
        <v>8000</v>
      </c>
      <c r="G133" s="227">
        <f t="shared" si="80"/>
        <v>24000</v>
      </c>
      <c r="H133" s="347">
        <f t="shared" si="77"/>
        <v>40.689000406890003</v>
      </c>
      <c r="I133" s="642">
        <f t="shared" si="78"/>
        <v>720</v>
      </c>
      <c r="J133" s="642">
        <f t="shared" si="81"/>
        <v>550</v>
      </c>
      <c r="K133" s="642">
        <f t="shared" si="79"/>
        <v>24000</v>
      </c>
      <c r="L133" s="522"/>
      <c r="M133" s="522"/>
      <c r="N133" s="522"/>
      <c r="O133" s="572"/>
    </row>
    <row r="134" spans="1:15" ht="27.75" customHeight="1" thickBot="1" x14ac:dyDescent="0.3">
      <c r="A134" s="188">
        <v>10</v>
      </c>
      <c r="B134" s="189" t="s">
        <v>925</v>
      </c>
      <c r="C134" s="225" t="s">
        <v>28</v>
      </c>
      <c r="D134" s="226">
        <v>1</v>
      </c>
      <c r="E134" s="226">
        <v>3</v>
      </c>
      <c r="F134" s="227">
        <v>8000</v>
      </c>
      <c r="G134" s="227">
        <f t="shared" si="80"/>
        <v>24000</v>
      </c>
      <c r="H134" s="347">
        <f t="shared" si="77"/>
        <v>40.689000406890003</v>
      </c>
      <c r="I134" s="642">
        <f t="shared" si="78"/>
        <v>720</v>
      </c>
      <c r="J134" s="642">
        <f t="shared" si="81"/>
        <v>550</v>
      </c>
      <c r="K134" s="642">
        <f t="shared" si="79"/>
        <v>24000</v>
      </c>
      <c r="L134" s="522"/>
      <c r="M134" s="522"/>
      <c r="N134" s="522"/>
      <c r="O134" s="572"/>
    </row>
    <row r="135" spans="1:15" ht="27.75" customHeight="1" thickBot="1" x14ac:dyDescent="0.3">
      <c r="A135" s="188">
        <v>11</v>
      </c>
      <c r="B135" s="189" t="s">
        <v>924</v>
      </c>
      <c r="C135" s="225" t="s">
        <v>28</v>
      </c>
      <c r="D135" s="226">
        <v>1</v>
      </c>
      <c r="E135" s="226">
        <v>3</v>
      </c>
      <c r="F135" s="227">
        <v>8000</v>
      </c>
      <c r="G135" s="227">
        <f t="shared" si="80"/>
        <v>24000</v>
      </c>
      <c r="H135" s="347">
        <f t="shared" si="77"/>
        <v>40.689000406890003</v>
      </c>
      <c r="I135" s="642">
        <f t="shared" si="78"/>
        <v>720</v>
      </c>
      <c r="J135" s="642">
        <f t="shared" si="81"/>
        <v>550</v>
      </c>
      <c r="K135" s="642">
        <f t="shared" si="79"/>
        <v>24000</v>
      </c>
      <c r="L135" s="522"/>
      <c r="M135" s="522"/>
      <c r="N135" s="522"/>
      <c r="O135" s="572"/>
    </row>
    <row r="136" spans="1:15" ht="27.75" customHeight="1" thickBot="1" x14ac:dyDescent="0.3">
      <c r="A136" s="188">
        <v>12</v>
      </c>
      <c r="B136" s="189" t="s">
        <v>318</v>
      </c>
      <c r="C136" s="225" t="s">
        <v>28</v>
      </c>
      <c r="D136" s="226">
        <v>2</v>
      </c>
      <c r="E136" s="226">
        <v>3</v>
      </c>
      <c r="F136" s="227">
        <v>5000</v>
      </c>
      <c r="G136" s="227">
        <f t="shared" si="80"/>
        <v>30000</v>
      </c>
      <c r="H136" s="347">
        <f t="shared" si="77"/>
        <v>50.8612505086125</v>
      </c>
      <c r="I136" s="642">
        <f t="shared" si="78"/>
        <v>900</v>
      </c>
      <c r="J136" s="642">
        <f>450*D136</f>
        <v>900</v>
      </c>
      <c r="K136" s="642">
        <f t="shared" si="79"/>
        <v>15000</v>
      </c>
      <c r="L136" s="522"/>
      <c r="M136" s="522"/>
      <c r="N136" s="522"/>
      <c r="O136" s="572"/>
    </row>
    <row r="137" spans="1:15" ht="27.75" customHeight="1" thickBot="1" x14ac:dyDescent="0.3">
      <c r="A137" s="188">
        <v>13</v>
      </c>
      <c r="B137" s="189" t="s">
        <v>319</v>
      </c>
      <c r="C137" s="225" t="s">
        <v>28</v>
      </c>
      <c r="D137" s="226">
        <v>2</v>
      </c>
      <c r="E137" s="226">
        <v>3</v>
      </c>
      <c r="F137" s="227">
        <v>5000</v>
      </c>
      <c r="G137" s="227">
        <f t="shared" si="80"/>
        <v>30000</v>
      </c>
      <c r="H137" s="347">
        <f t="shared" si="77"/>
        <v>50.8612505086125</v>
      </c>
      <c r="I137" s="642">
        <f t="shared" si="78"/>
        <v>900</v>
      </c>
      <c r="J137" s="642">
        <f t="shared" ref="J137:J141" si="82">450*D137</f>
        <v>900</v>
      </c>
      <c r="K137" s="642">
        <f t="shared" si="79"/>
        <v>15000</v>
      </c>
      <c r="L137" s="522"/>
      <c r="M137" s="522"/>
      <c r="N137" s="522"/>
      <c r="O137" s="572"/>
    </row>
    <row r="138" spans="1:15" ht="28.5" x14ac:dyDescent="0.25">
      <c r="A138" s="22">
        <v>14</v>
      </c>
      <c r="B138" s="189" t="s">
        <v>1471</v>
      </c>
      <c r="C138" s="225" t="s">
        <v>28</v>
      </c>
      <c r="D138" s="226">
        <v>1</v>
      </c>
      <c r="E138" s="226">
        <v>3</v>
      </c>
      <c r="F138" s="227">
        <v>5000</v>
      </c>
      <c r="G138" s="25">
        <f t="shared" si="80"/>
        <v>15000</v>
      </c>
      <c r="H138" s="268">
        <f t="shared" si="77"/>
        <v>25.43062525430625</v>
      </c>
      <c r="I138" s="642">
        <f t="shared" si="78"/>
        <v>450</v>
      </c>
      <c r="J138" s="642">
        <f t="shared" si="82"/>
        <v>450</v>
      </c>
      <c r="K138" s="642">
        <f t="shared" si="79"/>
        <v>15000</v>
      </c>
      <c r="L138" s="12"/>
      <c r="M138" s="12"/>
      <c r="N138" s="12"/>
      <c r="O138" s="531"/>
    </row>
    <row r="139" spans="1:15" ht="29.25" thickBot="1" x14ac:dyDescent="0.3">
      <c r="A139" s="22">
        <v>15</v>
      </c>
      <c r="B139" s="189" t="s">
        <v>1472</v>
      </c>
      <c r="C139" s="225" t="s">
        <v>28</v>
      </c>
      <c r="D139" s="226">
        <v>1</v>
      </c>
      <c r="E139" s="226">
        <v>3</v>
      </c>
      <c r="F139" s="227">
        <v>5000</v>
      </c>
      <c r="G139" s="25">
        <f t="shared" si="80"/>
        <v>15000</v>
      </c>
      <c r="H139" s="268">
        <f t="shared" si="77"/>
        <v>25.43062525430625</v>
      </c>
      <c r="I139" s="642">
        <f t="shared" si="78"/>
        <v>450</v>
      </c>
      <c r="J139" s="642">
        <f t="shared" si="82"/>
        <v>450</v>
      </c>
      <c r="K139" s="642">
        <f t="shared" si="79"/>
        <v>15000</v>
      </c>
      <c r="L139" s="12"/>
      <c r="M139" s="12"/>
      <c r="N139" s="12"/>
      <c r="O139" s="531"/>
    </row>
    <row r="140" spans="1:15" ht="27.75" customHeight="1" thickBot="1" x14ac:dyDescent="0.3">
      <c r="A140" s="188">
        <v>16</v>
      </c>
      <c r="B140" s="189" t="s">
        <v>320</v>
      </c>
      <c r="C140" s="225" t="s">
        <v>28</v>
      </c>
      <c r="D140" s="226">
        <v>1</v>
      </c>
      <c r="E140" s="226">
        <v>3</v>
      </c>
      <c r="F140" s="227">
        <v>5000</v>
      </c>
      <c r="G140" s="227">
        <f t="shared" si="80"/>
        <v>15000</v>
      </c>
      <c r="H140" s="347">
        <f t="shared" si="77"/>
        <v>25.43062525430625</v>
      </c>
      <c r="I140" s="642">
        <f t="shared" si="78"/>
        <v>450</v>
      </c>
      <c r="J140" s="642">
        <f t="shared" si="82"/>
        <v>450</v>
      </c>
      <c r="K140" s="642">
        <f t="shared" si="79"/>
        <v>15000</v>
      </c>
      <c r="L140" s="522"/>
      <c r="M140" s="522"/>
      <c r="N140" s="522"/>
      <c r="O140" s="572"/>
    </row>
    <row r="141" spans="1:15" ht="27.75" customHeight="1" thickBot="1" x14ac:dyDescent="0.3">
      <c r="A141" s="188">
        <v>17</v>
      </c>
      <c r="B141" s="189" t="s">
        <v>321</v>
      </c>
      <c r="C141" s="225" t="s">
        <v>28</v>
      </c>
      <c r="D141" s="226">
        <v>1</v>
      </c>
      <c r="E141" s="226">
        <v>3</v>
      </c>
      <c r="F141" s="227">
        <v>5000</v>
      </c>
      <c r="G141" s="227">
        <f t="shared" si="80"/>
        <v>15000</v>
      </c>
      <c r="H141" s="347">
        <f t="shared" si="77"/>
        <v>25.43062525430625</v>
      </c>
      <c r="I141" s="642">
        <f t="shared" si="78"/>
        <v>450</v>
      </c>
      <c r="J141" s="642">
        <f t="shared" si="82"/>
        <v>450</v>
      </c>
      <c r="K141" s="642">
        <f t="shared" si="79"/>
        <v>15000</v>
      </c>
      <c r="L141" s="522"/>
      <c r="M141" s="522"/>
      <c r="N141" s="522"/>
      <c r="O141" s="572"/>
    </row>
    <row r="142" spans="1:15" ht="27.75" customHeight="1" thickBot="1" x14ac:dyDescent="0.3">
      <c r="A142" s="188">
        <v>18</v>
      </c>
      <c r="B142" s="189" t="s">
        <v>1358</v>
      </c>
      <c r="C142" s="225" t="s">
        <v>28</v>
      </c>
      <c r="D142" s="226">
        <v>3</v>
      </c>
      <c r="E142" s="226">
        <v>3</v>
      </c>
      <c r="F142" s="227">
        <v>12500</v>
      </c>
      <c r="G142" s="227">
        <f t="shared" si="80"/>
        <v>112500</v>
      </c>
      <c r="H142" s="347">
        <f t="shared" si="77"/>
        <v>190.72968940729689</v>
      </c>
      <c r="I142" s="642">
        <f t="shared" si="78"/>
        <v>3375</v>
      </c>
      <c r="J142" s="642">
        <f>1050*D142</f>
        <v>3150</v>
      </c>
      <c r="K142" s="642">
        <f t="shared" si="79"/>
        <v>37500</v>
      </c>
      <c r="L142" s="522"/>
      <c r="M142" s="522"/>
      <c r="N142" s="522"/>
      <c r="O142" s="572"/>
    </row>
    <row r="143" spans="1:15" ht="20.25" customHeight="1" thickBot="1" x14ac:dyDescent="0.3">
      <c r="A143" s="188">
        <v>19</v>
      </c>
      <c r="B143" s="189" t="s">
        <v>1285</v>
      </c>
      <c r="C143" s="225" t="s">
        <v>28</v>
      </c>
      <c r="D143" s="226">
        <v>2</v>
      </c>
      <c r="E143" s="226">
        <v>9</v>
      </c>
      <c r="F143" s="227">
        <v>25000</v>
      </c>
      <c r="G143" s="227">
        <f t="shared" si="80"/>
        <v>450000</v>
      </c>
      <c r="H143" s="347">
        <f t="shared" si="77"/>
        <v>762.91875762918755</v>
      </c>
      <c r="I143" s="642">
        <f t="shared" si="78"/>
        <v>13500</v>
      </c>
      <c r="J143" s="642">
        <f>1900*D143</f>
        <v>3800</v>
      </c>
      <c r="K143" s="642">
        <f t="shared" si="79"/>
        <v>225000</v>
      </c>
      <c r="L143" s="522"/>
      <c r="M143" s="522"/>
      <c r="N143" s="522"/>
      <c r="O143" s="572"/>
    </row>
    <row r="144" spans="1:15" ht="16.5" thickBot="1" x14ac:dyDescent="0.3">
      <c r="A144" s="188">
        <v>20</v>
      </c>
      <c r="B144" s="26" t="s">
        <v>271</v>
      </c>
      <c r="C144" s="23" t="s">
        <v>28</v>
      </c>
      <c r="D144" s="24">
        <v>2</v>
      </c>
      <c r="E144" s="24">
        <v>3</v>
      </c>
      <c r="F144" s="227">
        <v>0</v>
      </c>
      <c r="G144" s="227">
        <f t="shared" si="80"/>
        <v>0</v>
      </c>
      <c r="H144" s="347">
        <f t="shared" si="77"/>
        <v>0</v>
      </c>
      <c r="I144" s="642">
        <f t="shared" si="78"/>
        <v>0</v>
      </c>
      <c r="J144" s="642">
        <v>0</v>
      </c>
      <c r="K144" s="642">
        <f t="shared" si="79"/>
        <v>0</v>
      </c>
      <c r="L144" s="522"/>
      <c r="M144" s="522"/>
      <c r="N144" s="522"/>
      <c r="O144" s="572"/>
    </row>
    <row r="145" spans="1:15" ht="16.5" thickBot="1" x14ac:dyDescent="0.3">
      <c r="A145" s="188">
        <v>21</v>
      </c>
      <c r="B145" s="189" t="s">
        <v>757</v>
      </c>
      <c r="C145" s="225" t="s">
        <v>28</v>
      </c>
      <c r="D145" s="226">
        <v>1</v>
      </c>
      <c r="E145" s="226">
        <v>3</v>
      </c>
      <c r="F145" s="227">
        <v>3000</v>
      </c>
      <c r="G145" s="227">
        <f t="shared" si="80"/>
        <v>9000</v>
      </c>
      <c r="H145" s="347">
        <f t="shared" si="77"/>
        <v>15.258375152583751</v>
      </c>
      <c r="I145" s="642">
        <f t="shared" si="78"/>
        <v>270</v>
      </c>
      <c r="J145" s="642">
        <f>350*D145</f>
        <v>350</v>
      </c>
      <c r="K145" s="642">
        <f t="shared" si="79"/>
        <v>9000</v>
      </c>
      <c r="L145" s="522"/>
      <c r="M145" s="522"/>
      <c r="N145" s="522"/>
      <c r="O145" s="572"/>
    </row>
    <row r="146" spans="1:15" ht="16.5" thickBot="1" x14ac:dyDescent="0.3">
      <c r="A146" s="188">
        <v>22</v>
      </c>
      <c r="B146" s="189" t="s">
        <v>758</v>
      </c>
      <c r="C146" s="225" t="s">
        <v>28</v>
      </c>
      <c r="D146" s="226">
        <f>SUM(D125:D145)</f>
        <v>27</v>
      </c>
      <c r="E146" s="226">
        <v>3</v>
      </c>
      <c r="F146" s="227">
        <v>6500</v>
      </c>
      <c r="G146" s="227">
        <f t="shared" si="80"/>
        <v>526500</v>
      </c>
      <c r="H146" s="347">
        <f t="shared" si="77"/>
        <v>892.61494642614946</v>
      </c>
      <c r="I146" s="642">
        <v>0</v>
      </c>
      <c r="J146" s="642">
        <v>0</v>
      </c>
      <c r="K146" s="642">
        <v>0</v>
      </c>
      <c r="L146" s="522"/>
      <c r="M146" s="522"/>
      <c r="N146" s="522"/>
      <c r="O146" s="572"/>
    </row>
    <row r="147" spans="1:15" ht="16.5" thickBot="1" x14ac:dyDescent="0.3">
      <c r="A147" s="188">
        <v>23</v>
      </c>
      <c r="B147" s="189" t="s">
        <v>1473</v>
      </c>
      <c r="C147" s="225" t="s">
        <v>28</v>
      </c>
      <c r="D147" s="731">
        <v>2</v>
      </c>
      <c r="E147" s="731">
        <v>3</v>
      </c>
      <c r="F147" s="732">
        <v>8000</v>
      </c>
      <c r="G147" s="227">
        <f t="shared" si="80"/>
        <v>48000</v>
      </c>
      <c r="H147" s="347">
        <f t="shared" si="77"/>
        <v>81.378000813780005</v>
      </c>
      <c r="I147" s="642">
        <f t="shared" si="78"/>
        <v>1440</v>
      </c>
      <c r="J147" s="642">
        <f t="shared" ref="J147" si="83">550*D147</f>
        <v>1100</v>
      </c>
      <c r="K147" s="642">
        <f t="shared" si="79"/>
        <v>24000</v>
      </c>
      <c r="L147" s="522"/>
      <c r="M147" s="522"/>
      <c r="N147" s="522"/>
      <c r="O147" s="572"/>
    </row>
    <row r="148" spans="1:15" ht="16.5" thickBot="1" x14ac:dyDescent="0.3">
      <c r="A148" s="188">
        <v>23</v>
      </c>
      <c r="B148" s="189" t="s">
        <v>1284</v>
      </c>
      <c r="C148" s="225" t="s">
        <v>1286</v>
      </c>
      <c r="D148" s="226">
        <v>2</v>
      </c>
      <c r="E148" s="226">
        <v>2</v>
      </c>
      <c r="F148" s="227">
        <f>11000+1000</f>
        <v>12000</v>
      </c>
      <c r="G148" s="227">
        <f t="shared" si="80"/>
        <v>48000</v>
      </c>
      <c r="H148" s="347">
        <f t="shared" si="77"/>
        <v>81.378000813780005</v>
      </c>
      <c r="I148" s="642">
        <v>0</v>
      </c>
      <c r="J148" s="642">
        <v>0</v>
      </c>
      <c r="K148" s="642">
        <v>0</v>
      </c>
      <c r="L148" s="522"/>
      <c r="M148" s="522"/>
      <c r="N148" s="522"/>
      <c r="O148" s="572"/>
    </row>
    <row r="149" spans="1:15" ht="16.5" thickBot="1" x14ac:dyDescent="0.3">
      <c r="A149" s="188">
        <v>24</v>
      </c>
      <c r="B149" s="26" t="s">
        <v>1308</v>
      </c>
      <c r="C149" s="23" t="s">
        <v>30</v>
      </c>
      <c r="D149" s="51">
        <v>300</v>
      </c>
      <c r="E149" s="51">
        <v>2</v>
      </c>
      <c r="F149" s="730">
        <v>1000</v>
      </c>
      <c r="G149" s="227">
        <f t="shared" si="80"/>
        <v>600000</v>
      </c>
      <c r="H149" s="347">
        <f t="shared" si="77"/>
        <v>1017.22501017225</v>
      </c>
      <c r="I149" s="642">
        <v>0</v>
      </c>
      <c r="J149" s="642">
        <v>0</v>
      </c>
      <c r="K149" s="642">
        <v>0</v>
      </c>
      <c r="L149" s="522"/>
      <c r="M149" s="522"/>
      <c r="N149" s="522"/>
      <c r="O149" s="572"/>
    </row>
    <row r="150" spans="1:15" ht="16.5" thickBot="1" x14ac:dyDescent="0.3">
      <c r="A150" s="188">
        <v>25</v>
      </c>
      <c r="B150" s="26" t="s">
        <v>1300</v>
      </c>
      <c r="C150" s="23" t="s">
        <v>1301</v>
      </c>
      <c r="D150" s="24">
        <f>D149/25</f>
        <v>12</v>
      </c>
      <c r="E150" s="24">
        <v>2</v>
      </c>
      <c r="F150" s="25">
        <v>6000</v>
      </c>
      <c r="G150" s="227">
        <f t="shared" si="80"/>
        <v>144000</v>
      </c>
      <c r="H150" s="347">
        <f t="shared" si="77"/>
        <v>244.13400244134002</v>
      </c>
      <c r="I150" s="642">
        <v>0</v>
      </c>
      <c r="J150" s="642">
        <v>0</v>
      </c>
      <c r="K150" s="642">
        <v>0</v>
      </c>
      <c r="L150" s="522"/>
      <c r="M150" s="522"/>
      <c r="N150" s="522"/>
      <c r="O150" s="572"/>
    </row>
    <row r="151" spans="1:15" ht="16.5" thickBot="1" x14ac:dyDescent="0.3">
      <c r="A151" s="188">
        <v>26</v>
      </c>
      <c r="B151" s="26" t="s">
        <v>273</v>
      </c>
      <c r="C151" s="23" t="s">
        <v>29</v>
      </c>
      <c r="D151" s="24">
        <v>20</v>
      </c>
      <c r="E151" s="226">
        <v>3</v>
      </c>
      <c r="F151" s="227">
        <v>1000</v>
      </c>
      <c r="G151" s="227">
        <f t="shared" si="80"/>
        <v>60000</v>
      </c>
      <c r="H151" s="347">
        <f t="shared" si="77"/>
        <v>101.722501017225</v>
      </c>
      <c r="I151" s="642">
        <v>0</v>
      </c>
      <c r="J151" s="642">
        <v>0</v>
      </c>
      <c r="K151" s="642">
        <v>0</v>
      </c>
      <c r="L151" s="522"/>
      <c r="M151" s="522"/>
      <c r="N151" s="522"/>
      <c r="O151" s="572"/>
    </row>
    <row r="152" spans="1:15" ht="18.75" thickBot="1" x14ac:dyDescent="0.3">
      <c r="A152" s="341"/>
      <c r="B152" s="342" t="s">
        <v>1399</v>
      </c>
      <c r="C152" s="343"/>
      <c r="D152" s="343"/>
      <c r="E152" s="343"/>
      <c r="F152" s="344"/>
      <c r="G152" s="344">
        <f>SUM(G125:G151)</f>
        <v>2373000</v>
      </c>
      <c r="H152" s="345">
        <f>SUM(H125:H151)</f>
        <v>4023.1249152312489</v>
      </c>
      <c r="I152" s="263">
        <f>SUM(I125:I151)</f>
        <v>29835</v>
      </c>
      <c r="J152" s="263">
        <f>SUM(J125:J151)</f>
        <v>17950</v>
      </c>
      <c r="K152" s="263">
        <f>SUM(K125:K151)</f>
        <v>640500</v>
      </c>
      <c r="L152" s="522"/>
      <c r="M152" s="522"/>
      <c r="N152" s="522"/>
      <c r="O152" s="572"/>
    </row>
    <row r="153" spans="1:15" ht="18.75" thickBot="1" x14ac:dyDescent="0.3">
      <c r="A153" s="205"/>
      <c r="B153" s="205" t="s">
        <v>401</v>
      </c>
      <c r="C153" s="205"/>
      <c r="D153" s="205"/>
      <c r="E153" s="205"/>
      <c r="F153" s="205"/>
      <c r="G153" s="205"/>
      <c r="H153" s="355"/>
      <c r="I153" s="523"/>
      <c r="J153" s="522"/>
      <c r="K153" s="522"/>
      <c r="L153" s="522"/>
      <c r="M153" s="522"/>
      <c r="N153" s="522"/>
      <c r="O153" s="572"/>
    </row>
    <row r="154" spans="1:15" ht="16.5" thickBot="1" x14ac:dyDescent="0.3">
      <c r="A154" s="188">
        <v>1</v>
      </c>
      <c r="B154" s="189" t="s">
        <v>935</v>
      </c>
      <c r="C154" s="225" t="s">
        <v>28</v>
      </c>
      <c r="D154" s="226">
        <v>4</v>
      </c>
      <c r="E154" s="225">
        <v>1</v>
      </c>
      <c r="F154" s="227">
        <v>3000</v>
      </c>
      <c r="G154" s="227">
        <f t="shared" ref="G154:G167" si="84">D154*E154*F154</f>
        <v>12000</v>
      </c>
      <c r="H154" s="347">
        <f t="shared" ref="H154:H167" si="85">G154/589.84</f>
        <v>20.344500203445001</v>
      </c>
      <c r="I154" s="642">
        <f t="shared" ref="I154:I167" si="86">G154*0.03</f>
        <v>360</v>
      </c>
      <c r="J154" s="642">
        <f>250*D154</f>
        <v>1000</v>
      </c>
      <c r="K154" s="642">
        <f t="shared" ref="K154:K167" si="87">G154/D154</f>
        <v>3000</v>
      </c>
      <c r="L154" s="522"/>
      <c r="M154" s="522"/>
      <c r="N154" s="522"/>
      <c r="O154" s="572"/>
    </row>
    <row r="155" spans="1:15" ht="16.5" thickBot="1" x14ac:dyDescent="0.3">
      <c r="A155" s="188">
        <v>2</v>
      </c>
      <c r="B155" s="189" t="s">
        <v>884</v>
      </c>
      <c r="C155" s="225" t="s">
        <v>28</v>
      </c>
      <c r="D155" s="226">
        <v>2</v>
      </c>
      <c r="E155" s="225">
        <v>1</v>
      </c>
      <c r="F155" s="227">
        <v>3000</v>
      </c>
      <c r="G155" s="227">
        <f t="shared" si="84"/>
        <v>6000</v>
      </c>
      <c r="H155" s="347">
        <f t="shared" si="85"/>
        <v>10.172250101722501</v>
      </c>
      <c r="I155" s="642">
        <f t="shared" si="86"/>
        <v>180</v>
      </c>
      <c r="J155" s="642">
        <f t="shared" ref="J155:J167" si="88">250*D155</f>
        <v>500</v>
      </c>
      <c r="K155" s="642">
        <f t="shared" si="87"/>
        <v>3000</v>
      </c>
      <c r="L155" s="522"/>
      <c r="M155" s="522"/>
      <c r="N155" s="522"/>
      <c r="O155" s="572"/>
    </row>
    <row r="156" spans="1:15" ht="16.5" thickBot="1" x14ac:dyDescent="0.3">
      <c r="A156" s="188">
        <v>3</v>
      </c>
      <c r="B156" s="189" t="s">
        <v>888</v>
      </c>
      <c r="C156" s="225" t="s">
        <v>28</v>
      </c>
      <c r="D156" s="226">
        <v>2</v>
      </c>
      <c r="E156" s="225">
        <v>1</v>
      </c>
      <c r="F156" s="227">
        <v>3000</v>
      </c>
      <c r="G156" s="227">
        <f t="shared" si="84"/>
        <v>6000</v>
      </c>
      <c r="H156" s="347">
        <f t="shared" si="85"/>
        <v>10.172250101722501</v>
      </c>
      <c r="I156" s="642">
        <f t="shared" si="86"/>
        <v>180</v>
      </c>
      <c r="J156" s="642">
        <f t="shared" si="88"/>
        <v>500</v>
      </c>
      <c r="K156" s="642">
        <f t="shared" si="87"/>
        <v>3000</v>
      </c>
      <c r="L156" s="522"/>
      <c r="M156" s="522"/>
      <c r="N156" s="522"/>
      <c r="O156" s="572"/>
    </row>
    <row r="157" spans="1:15" ht="16.5" thickBot="1" x14ac:dyDescent="0.3">
      <c r="A157" s="188">
        <v>4</v>
      </c>
      <c r="B157" s="189" t="s">
        <v>892</v>
      </c>
      <c r="C157" s="225" t="s">
        <v>28</v>
      </c>
      <c r="D157" s="226">
        <v>2</v>
      </c>
      <c r="E157" s="225">
        <v>1</v>
      </c>
      <c r="F157" s="227">
        <v>3000</v>
      </c>
      <c r="G157" s="227">
        <f t="shared" si="84"/>
        <v>6000</v>
      </c>
      <c r="H157" s="347">
        <f t="shared" si="85"/>
        <v>10.172250101722501</v>
      </c>
      <c r="I157" s="642">
        <f t="shared" si="86"/>
        <v>180</v>
      </c>
      <c r="J157" s="642">
        <f t="shared" si="88"/>
        <v>500</v>
      </c>
      <c r="K157" s="642">
        <f t="shared" si="87"/>
        <v>3000</v>
      </c>
      <c r="L157" s="522"/>
      <c r="M157" s="522"/>
      <c r="N157" s="522"/>
      <c r="O157" s="572"/>
    </row>
    <row r="158" spans="1:15" ht="16.5" thickBot="1" x14ac:dyDescent="0.3">
      <c r="A158" s="188">
        <v>5</v>
      </c>
      <c r="B158" s="189" t="s">
        <v>896</v>
      </c>
      <c r="C158" s="225" t="s">
        <v>28</v>
      </c>
      <c r="D158" s="226">
        <v>2</v>
      </c>
      <c r="E158" s="225">
        <v>1</v>
      </c>
      <c r="F158" s="227">
        <v>3000</v>
      </c>
      <c r="G158" s="227">
        <f t="shared" si="84"/>
        <v>6000</v>
      </c>
      <c r="H158" s="347">
        <f t="shared" si="85"/>
        <v>10.172250101722501</v>
      </c>
      <c r="I158" s="642">
        <f t="shared" si="86"/>
        <v>180</v>
      </c>
      <c r="J158" s="642">
        <f t="shared" si="88"/>
        <v>500</v>
      </c>
      <c r="K158" s="642">
        <f t="shared" si="87"/>
        <v>3000</v>
      </c>
      <c r="L158" s="522"/>
      <c r="M158" s="522"/>
      <c r="N158" s="522"/>
      <c r="O158" s="572"/>
    </row>
    <row r="159" spans="1:15" ht="16.5" thickBot="1" x14ac:dyDescent="0.3">
      <c r="A159" s="188">
        <v>6</v>
      </c>
      <c r="B159" s="189" t="s">
        <v>900</v>
      </c>
      <c r="C159" s="225" t="s">
        <v>28</v>
      </c>
      <c r="D159" s="226">
        <v>2</v>
      </c>
      <c r="E159" s="225">
        <v>1</v>
      </c>
      <c r="F159" s="227">
        <v>3000</v>
      </c>
      <c r="G159" s="227">
        <f t="shared" si="84"/>
        <v>6000</v>
      </c>
      <c r="H159" s="347">
        <f t="shared" si="85"/>
        <v>10.172250101722501</v>
      </c>
      <c r="I159" s="642">
        <f t="shared" si="86"/>
        <v>180</v>
      </c>
      <c r="J159" s="642">
        <f t="shared" si="88"/>
        <v>500</v>
      </c>
      <c r="K159" s="642">
        <f t="shared" si="87"/>
        <v>3000</v>
      </c>
      <c r="L159" s="522"/>
      <c r="M159" s="522"/>
      <c r="N159" s="522"/>
      <c r="O159" s="572"/>
    </row>
    <row r="160" spans="1:15" ht="16.5" thickBot="1" x14ac:dyDescent="0.3">
      <c r="A160" s="188">
        <v>7</v>
      </c>
      <c r="B160" s="189" t="s">
        <v>904</v>
      </c>
      <c r="C160" s="225" t="s">
        <v>28</v>
      </c>
      <c r="D160" s="226">
        <v>2</v>
      </c>
      <c r="E160" s="225">
        <v>1</v>
      </c>
      <c r="F160" s="227">
        <v>3000</v>
      </c>
      <c r="G160" s="227">
        <f t="shared" si="84"/>
        <v>6000</v>
      </c>
      <c r="H160" s="347">
        <f t="shared" si="85"/>
        <v>10.172250101722501</v>
      </c>
      <c r="I160" s="642">
        <f t="shared" si="86"/>
        <v>180</v>
      </c>
      <c r="J160" s="642">
        <f t="shared" si="88"/>
        <v>500</v>
      </c>
      <c r="K160" s="642">
        <f t="shared" si="87"/>
        <v>3000</v>
      </c>
      <c r="L160" s="522"/>
      <c r="M160" s="522"/>
      <c r="N160" s="522"/>
      <c r="O160" s="572"/>
    </row>
    <row r="161" spans="1:15" ht="16.5" thickBot="1" x14ac:dyDescent="0.3">
      <c r="A161" s="188">
        <v>8</v>
      </c>
      <c r="B161" s="189" t="s">
        <v>908</v>
      </c>
      <c r="C161" s="225" t="s">
        <v>28</v>
      </c>
      <c r="D161" s="226">
        <v>2</v>
      </c>
      <c r="E161" s="225">
        <v>1</v>
      </c>
      <c r="F161" s="227">
        <v>3000</v>
      </c>
      <c r="G161" s="227">
        <f t="shared" si="84"/>
        <v>6000</v>
      </c>
      <c r="H161" s="347">
        <f t="shared" si="85"/>
        <v>10.172250101722501</v>
      </c>
      <c r="I161" s="642">
        <f t="shared" si="86"/>
        <v>180</v>
      </c>
      <c r="J161" s="642">
        <f t="shared" si="88"/>
        <v>500</v>
      </c>
      <c r="K161" s="642">
        <f t="shared" si="87"/>
        <v>3000</v>
      </c>
      <c r="L161" s="522"/>
      <c r="M161" s="522"/>
      <c r="N161" s="522"/>
      <c r="O161" s="572"/>
    </row>
    <row r="162" spans="1:15" ht="16.5" thickBot="1" x14ac:dyDescent="0.3">
      <c r="A162" s="188">
        <v>9</v>
      </c>
      <c r="B162" s="189" t="s">
        <v>912</v>
      </c>
      <c r="C162" s="225" t="s">
        <v>28</v>
      </c>
      <c r="D162" s="226">
        <v>2</v>
      </c>
      <c r="E162" s="225">
        <v>1</v>
      </c>
      <c r="F162" s="227">
        <v>3000</v>
      </c>
      <c r="G162" s="227">
        <f t="shared" si="84"/>
        <v>6000</v>
      </c>
      <c r="H162" s="347">
        <f t="shared" si="85"/>
        <v>10.172250101722501</v>
      </c>
      <c r="I162" s="642">
        <f t="shared" si="86"/>
        <v>180</v>
      </c>
      <c r="J162" s="642">
        <f t="shared" si="88"/>
        <v>500</v>
      </c>
      <c r="K162" s="642">
        <f t="shared" si="87"/>
        <v>3000</v>
      </c>
      <c r="L162" s="522"/>
      <c r="M162" s="522"/>
      <c r="N162" s="522"/>
      <c r="O162" s="572"/>
    </row>
    <row r="163" spans="1:15" ht="16.5" thickBot="1" x14ac:dyDescent="0.3">
      <c r="A163" s="188">
        <v>10</v>
      </c>
      <c r="B163" s="189" t="s">
        <v>916</v>
      </c>
      <c r="C163" s="225" t="s">
        <v>28</v>
      </c>
      <c r="D163" s="226">
        <v>2</v>
      </c>
      <c r="E163" s="225">
        <v>1</v>
      </c>
      <c r="F163" s="227">
        <v>3000</v>
      </c>
      <c r="G163" s="227">
        <f t="shared" si="84"/>
        <v>6000</v>
      </c>
      <c r="H163" s="347">
        <f t="shared" si="85"/>
        <v>10.172250101722501</v>
      </c>
      <c r="I163" s="642">
        <f t="shared" si="86"/>
        <v>180</v>
      </c>
      <c r="J163" s="642">
        <f t="shared" si="88"/>
        <v>500</v>
      </c>
      <c r="K163" s="642">
        <f t="shared" si="87"/>
        <v>3000</v>
      </c>
      <c r="L163" s="522"/>
      <c r="M163" s="522"/>
      <c r="N163" s="522"/>
      <c r="O163" s="572"/>
    </row>
    <row r="164" spans="1:15" ht="16.5" thickBot="1" x14ac:dyDescent="0.3">
      <c r="A164" s="188">
        <v>11</v>
      </c>
      <c r="B164" s="189" t="s">
        <v>936</v>
      </c>
      <c r="C164" s="225" t="s">
        <v>28</v>
      </c>
      <c r="D164" s="226">
        <v>2</v>
      </c>
      <c r="E164" s="225">
        <v>1</v>
      </c>
      <c r="F164" s="227">
        <v>3000</v>
      </c>
      <c r="G164" s="227">
        <f t="shared" si="84"/>
        <v>6000</v>
      </c>
      <c r="H164" s="347">
        <f t="shared" si="85"/>
        <v>10.172250101722501</v>
      </c>
      <c r="I164" s="642">
        <f t="shared" si="86"/>
        <v>180</v>
      </c>
      <c r="J164" s="642">
        <f t="shared" si="88"/>
        <v>500</v>
      </c>
      <c r="K164" s="642">
        <f t="shared" si="87"/>
        <v>3000</v>
      </c>
      <c r="L164" s="522"/>
      <c r="M164" s="522"/>
      <c r="N164" s="522"/>
      <c r="O164" s="572"/>
    </row>
    <row r="165" spans="1:15" ht="16.5" thickBot="1" x14ac:dyDescent="0.3">
      <c r="A165" s="188">
        <v>12</v>
      </c>
      <c r="B165" s="189" t="s">
        <v>43</v>
      </c>
      <c r="C165" s="225" t="s">
        <v>28</v>
      </c>
      <c r="D165" s="226">
        <v>11</v>
      </c>
      <c r="E165" s="225">
        <v>1</v>
      </c>
      <c r="F165" s="227">
        <v>3000</v>
      </c>
      <c r="G165" s="227">
        <f t="shared" si="84"/>
        <v>33000</v>
      </c>
      <c r="H165" s="347">
        <f t="shared" si="85"/>
        <v>55.947375559473755</v>
      </c>
      <c r="I165" s="642">
        <f t="shared" si="86"/>
        <v>990</v>
      </c>
      <c r="J165" s="642">
        <f t="shared" si="88"/>
        <v>2750</v>
      </c>
      <c r="K165" s="642">
        <f t="shared" si="87"/>
        <v>3000</v>
      </c>
      <c r="L165" s="522"/>
      <c r="M165" s="522"/>
      <c r="N165" s="522"/>
      <c r="O165" s="572"/>
    </row>
    <row r="166" spans="1:15" ht="16.5" thickBot="1" x14ac:dyDescent="0.3">
      <c r="A166" s="188">
        <v>13</v>
      </c>
      <c r="B166" s="189" t="s">
        <v>409</v>
      </c>
      <c r="C166" s="225" t="s">
        <v>28</v>
      </c>
      <c r="D166" s="226">
        <v>11</v>
      </c>
      <c r="E166" s="225">
        <v>1</v>
      </c>
      <c r="F166" s="227">
        <v>2000</v>
      </c>
      <c r="G166" s="227">
        <f t="shared" si="84"/>
        <v>22000</v>
      </c>
      <c r="H166" s="347">
        <f t="shared" si="85"/>
        <v>37.298250372982501</v>
      </c>
      <c r="I166" s="642">
        <f t="shared" si="86"/>
        <v>660</v>
      </c>
      <c r="J166" s="642">
        <f>125*D166</f>
        <v>1375</v>
      </c>
      <c r="K166" s="642">
        <f t="shared" si="87"/>
        <v>2000</v>
      </c>
      <c r="L166" s="522"/>
      <c r="M166" s="522"/>
      <c r="N166" s="522"/>
      <c r="O166" s="572"/>
    </row>
    <row r="167" spans="1:15" ht="16.5" thickBot="1" x14ac:dyDescent="0.3">
      <c r="A167" s="188">
        <v>14</v>
      </c>
      <c r="B167" s="189" t="s">
        <v>44</v>
      </c>
      <c r="C167" s="225" t="s">
        <v>28</v>
      </c>
      <c r="D167" s="226">
        <f>SUM(D154:D166)</f>
        <v>46</v>
      </c>
      <c r="E167" s="225">
        <v>1</v>
      </c>
      <c r="F167" s="227">
        <v>3000</v>
      </c>
      <c r="G167" s="227">
        <f t="shared" si="84"/>
        <v>138000</v>
      </c>
      <c r="H167" s="347">
        <f t="shared" si="85"/>
        <v>233.9617523396175</v>
      </c>
      <c r="I167" s="642">
        <f t="shared" si="86"/>
        <v>4140</v>
      </c>
      <c r="J167" s="642">
        <f t="shared" si="88"/>
        <v>11500</v>
      </c>
      <c r="K167" s="642">
        <f t="shared" si="87"/>
        <v>3000</v>
      </c>
      <c r="L167" s="522"/>
      <c r="M167" s="522"/>
      <c r="N167" s="522"/>
      <c r="O167" s="572"/>
    </row>
    <row r="168" spans="1:15" ht="18.75" thickBot="1" x14ac:dyDescent="0.3">
      <c r="A168" s="341"/>
      <c r="B168" s="342" t="s">
        <v>1399</v>
      </c>
      <c r="C168" s="343"/>
      <c r="D168" s="343"/>
      <c r="E168" s="343"/>
      <c r="F168" s="344"/>
      <c r="G168" s="344">
        <f>SUM(G154:G167)</f>
        <v>265000</v>
      </c>
      <c r="H168" s="345">
        <f>SUM(H154:H167)</f>
        <v>449.27437949274372</v>
      </c>
      <c r="I168" s="263">
        <f>SUM(I154:I167)</f>
        <v>7950</v>
      </c>
      <c r="J168" s="263">
        <f>SUM(J154:J167)</f>
        <v>21625</v>
      </c>
      <c r="K168" s="522"/>
      <c r="L168" s="522"/>
      <c r="M168" s="522"/>
      <c r="N168" s="522"/>
      <c r="O168" s="572"/>
    </row>
    <row r="169" spans="1:15" ht="18.75" thickBot="1" x14ac:dyDescent="0.3">
      <c r="A169" s="205"/>
      <c r="B169" s="205" t="s">
        <v>402</v>
      </c>
      <c r="C169" s="205"/>
      <c r="D169" s="205"/>
      <c r="E169" s="205"/>
      <c r="F169" s="205"/>
      <c r="G169" s="205"/>
      <c r="H169" s="355"/>
      <c r="I169" s="523"/>
      <c r="J169" s="522"/>
      <c r="K169" s="522"/>
      <c r="L169" s="522"/>
      <c r="M169" s="522"/>
      <c r="N169" s="522"/>
      <c r="O169" s="572"/>
    </row>
    <row r="170" spans="1:15" ht="16.5" thickBot="1" x14ac:dyDescent="0.3">
      <c r="A170" s="188">
        <v>1</v>
      </c>
      <c r="B170" s="189" t="s">
        <v>937</v>
      </c>
      <c r="C170" s="225" t="s">
        <v>28</v>
      </c>
      <c r="D170" s="226">
        <v>2</v>
      </c>
      <c r="E170" s="225">
        <v>1</v>
      </c>
      <c r="F170" s="227">
        <v>2500</v>
      </c>
      <c r="G170" s="227">
        <f t="shared" ref="G170:G182" si="89">D170*E170*F170</f>
        <v>5000</v>
      </c>
      <c r="H170" s="347">
        <f t="shared" ref="H170:H182" si="90">G170/589.84</f>
        <v>8.47687508476875</v>
      </c>
      <c r="I170" s="642">
        <f t="shared" ref="I170:I182" si="91">G170*0.03</f>
        <v>150</v>
      </c>
      <c r="J170" s="642">
        <f>125*D170</f>
        <v>250</v>
      </c>
      <c r="K170" s="642">
        <f t="shared" ref="K170:K182" si="92">G170/D170</f>
        <v>2500</v>
      </c>
      <c r="L170" s="522"/>
      <c r="M170" s="522"/>
      <c r="N170" s="522"/>
      <c r="O170" s="572"/>
    </row>
    <row r="171" spans="1:15" ht="16.5" thickBot="1" x14ac:dyDescent="0.3">
      <c r="A171" s="188">
        <v>2</v>
      </c>
      <c r="B171" s="189" t="s">
        <v>885</v>
      </c>
      <c r="C171" s="225" t="s">
        <v>28</v>
      </c>
      <c r="D171" s="226">
        <v>1</v>
      </c>
      <c r="E171" s="225">
        <v>1</v>
      </c>
      <c r="F171" s="227">
        <v>2500</v>
      </c>
      <c r="G171" s="227">
        <f t="shared" si="89"/>
        <v>2500</v>
      </c>
      <c r="H171" s="347">
        <f t="shared" si="90"/>
        <v>4.238437542384375</v>
      </c>
      <c r="I171" s="642">
        <f t="shared" si="91"/>
        <v>75</v>
      </c>
      <c r="J171" s="642">
        <f t="shared" ref="J171:J180" si="93">125*D171</f>
        <v>125</v>
      </c>
      <c r="K171" s="642">
        <f t="shared" si="92"/>
        <v>2500</v>
      </c>
      <c r="L171" s="522"/>
      <c r="M171" s="522"/>
      <c r="N171" s="522"/>
      <c r="O171" s="572"/>
    </row>
    <row r="172" spans="1:15" ht="16.5" thickBot="1" x14ac:dyDescent="0.3">
      <c r="A172" s="188">
        <v>3</v>
      </c>
      <c r="B172" s="189" t="s">
        <v>889</v>
      </c>
      <c r="C172" s="225" t="s">
        <v>28</v>
      </c>
      <c r="D172" s="226">
        <v>1</v>
      </c>
      <c r="E172" s="225">
        <v>1</v>
      </c>
      <c r="F172" s="227">
        <v>2500</v>
      </c>
      <c r="G172" s="227">
        <f t="shared" si="89"/>
        <v>2500</v>
      </c>
      <c r="H172" s="347">
        <f t="shared" si="90"/>
        <v>4.238437542384375</v>
      </c>
      <c r="I172" s="642">
        <f t="shared" si="91"/>
        <v>75</v>
      </c>
      <c r="J172" s="642">
        <f t="shared" si="93"/>
        <v>125</v>
      </c>
      <c r="K172" s="642">
        <f t="shared" si="92"/>
        <v>2500</v>
      </c>
      <c r="L172" s="522"/>
      <c r="M172" s="522"/>
      <c r="N172" s="522"/>
      <c r="O172" s="572"/>
    </row>
    <row r="173" spans="1:15" ht="16.5" thickBot="1" x14ac:dyDescent="0.3">
      <c r="A173" s="188">
        <v>4</v>
      </c>
      <c r="B173" s="189" t="s">
        <v>893</v>
      </c>
      <c r="C173" s="225" t="s">
        <v>28</v>
      </c>
      <c r="D173" s="226">
        <v>1</v>
      </c>
      <c r="E173" s="225">
        <v>1</v>
      </c>
      <c r="F173" s="227">
        <v>2500</v>
      </c>
      <c r="G173" s="227">
        <f t="shared" si="89"/>
        <v>2500</v>
      </c>
      <c r="H173" s="347">
        <f t="shared" si="90"/>
        <v>4.238437542384375</v>
      </c>
      <c r="I173" s="642">
        <f t="shared" si="91"/>
        <v>75</v>
      </c>
      <c r="J173" s="642">
        <f t="shared" si="93"/>
        <v>125</v>
      </c>
      <c r="K173" s="642">
        <f t="shared" si="92"/>
        <v>2500</v>
      </c>
      <c r="L173" s="522"/>
      <c r="M173" s="522"/>
      <c r="N173" s="522"/>
      <c r="O173" s="572"/>
    </row>
    <row r="174" spans="1:15" ht="16.5" thickBot="1" x14ac:dyDescent="0.3">
      <c r="A174" s="188">
        <v>5</v>
      </c>
      <c r="B174" s="189" t="s">
        <v>897</v>
      </c>
      <c r="C174" s="225" t="s">
        <v>28</v>
      </c>
      <c r="D174" s="226">
        <v>1</v>
      </c>
      <c r="E174" s="225">
        <v>1</v>
      </c>
      <c r="F174" s="227">
        <v>2500</v>
      </c>
      <c r="G174" s="227">
        <f t="shared" si="89"/>
        <v>2500</v>
      </c>
      <c r="H174" s="347">
        <f t="shared" si="90"/>
        <v>4.238437542384375</v>
      </c>
      <c r="I174" s="642">
        <f t="shared" si="91"/>
        <v>75</v>
      </c>
      <c r="J174" s="642">
        <f t="shared" si="93"/>
        <v>125</v>
      </c>
      <c r="K174" s="642">
        <f t="shared" si="92"/>
        <v>2500</v>
      </c>
      <c r="L174" s="522"/>
      <c r="M174" s="522"/>
      <c r="N174" s="522"/>
      <c r="O174" s="572"/>
    </row>
    <row r="175" spans="1:15" ht="16.5" thickBot="1" x14ac:dyDescent="0.3">
      <c r="A175" s="188">
        <v>6</v>
      </c>
      <c r="B175" s="189" t="s">
        <v>901</v>
      </c>
      <c r="C175" s="225" t="s">
        <v>28</v>
      </c>
      <c r="D175" s="226">
        <v>1</v>
      </c>
      <c r="E175" s="225">
        <v>1</v>
      </c>
      <c r="F175" s="227">
        <v>2500</v>
      </c>
      <c r="G175" s="227">
        <f t="shared" si="89"/>
        <v>2500</v>
      </c>
      <c r="H175" s="347">
        <f t="shared" si="90"/>
        <v>4.238437542384375</v>
      </c>
      <c r="I175" s="642">
        <f t="shared" si="91"/>
        <v>75</v>
      </c>
      <c r="J175" s="642">
        <f t="shared" si="93"/>
        <v>125</v>
      </c>
      <c r="K175" s="642">
        <f t="shared" si="92"/>
        <v>2500</v>
      </c>
      <c r="L175" s="522"/>
      <c r="M175" s="522"/>
      <c r="N175" s="522"/>
      <c r="O175" s="572"/>
    </row>
    <row r="176" spans="1:15" ht="16.5" thickBot="1" x14ac:dyDescent="0.3">
      <c r="A176" s="188">
        <v>7</v>
      </c>
      <c r="B176" s="189" t="s">
        <v>905</v>
      </c>
      <c r="C176" s="225" t="s">
        <v>28</v>
      </c>
      <c r="D176" s="226">
        <v>1</v>
      </c>
      <c r="E176" s="225">
        <v>1</v>
      </c>
      <c r="F176" s="227">
        <v>2500</v>
      </c>
      <c r="G176" s="227">
        <f t="shared" si="89"/>
        <v>2500</v>
      </c>
      <c r="H176" s="347">
        <f t="shared" si="90"/>
        <v>4.238437542384375</v>
      </c>
      <c r="I176" s="642">
        <f t="shared" si="91"/>
        <v>75</v>
      </c>
      <c r="J176" s="642">
        <f t="shared" si="93"/>
        <v>125</v>
      </c>
      <c r="K176" s="642">
        <f t="shared" si="92"/>
        <v>2500</v>
      </c>
      <c r="L176" s="522"/>
      <c r="M176" s="522"/>
      <c r="N176" s="522"/>
      <c r="O176" s="572"/>
    </row>
    <row r="177" spans="1:15" ht="16.5" thickBot="1" x14ac:dyDescent="0.3">
      <c r="A177" s="188">
        <v>8</v>
      </c>
      <c r="B177" s="189" t="s">
        <v>909</v>
      </c>
      <c r="C177" s="225" t="s">
        <v>28</v>
      </c>
      <c r="D177" s="226">
        <v>1</v>
      </c>
      <c r="E177" s="225">
        <v>1</v>
      </c>
      <c r="F177" s="227">
        <v>2500</v>
      </c>
      <c r="G177" s="227">
        <f t="shared" si="89"/>
        <v>2500</v>
      </c>
      <c r="H177" s="347">
        <f t="shared" si="90"/>
        <v>4.238437542384375</v>
      </c>
      <c r="I177" s="642">
        <f t="shared" si="91"/>
        <v>75</v>
      </c>
      <c r="J177" s="642">
        <f t="shared" si="93"/>
        <v>125</v>
      </c>
      <c r="K177" s="642">
        <f t="shared" si="92"/>
        <v>2500</v>
      </c>
      <c r="L177" s="522"/>
      <c r="M177" s="522"/>
      <c r="N177" s="522"/>
      <c r="O177" s="572"/>
    </row>
    <row r="178" spans="1:15" ht="16.5" thickBot="1" x14ac:dyDescent="0.3">
      <c r="A178" s="188">
        <v>9</v>
      </c>
      <c r="B178" s="189" t="s">
        <v>938</v>
      </c>
      <c r="C178" s="225" t="s">
        <v>28</v>
      </c>
      <c r="D178" s="226">
        <v>1</v>
      </c>
      <c r="E178" s="225">
        <v>1</v>
      </c>
      <c r="F178" s="227">
        <v>2500</v>
      </c>
      <c r="G178" s="227">
        <f t="shared" si="89"/>
        <v>2500</v>
      </c>
      <c r="H178" s="347">
        <f t="shared" si="90"/>
        <v>4.238437542384375</v>
      </c>
      <c r="I178" s="642">
        <f t="shared" si="91"/>
        <v>75</v>
      </c>
      <c r="J178" s="642">
        <f t="shared" si="93"/>
        <v>125</v>
      </c>
      <c r="K178" s="642">
        <f t="shared" si="92"/>
        <v>2500</v>
      </c>
      <c r="L178" s="522"/>
      <c r="M178" s="522"/>
      <c r="N178" s="522"/>
      <c r="O178" s="572"/>
    </row>
    <row r="179" spans="1:15" ht="16.5" thickBot="1" x14ac:dyDescent="0.3">
      <c r="A179" s="188">
        <v>10</v>
      </c>
      <c r="B179" s="189" t="s">
        <v>917</v>
      </c>
      <c r="C179" s="225" t="s">
        <v>28</v>
      </c>
      <c r="D179" s="226">
        <v>1</v>
      </c>
      <c r="E179" s="225">
        <v>1</v>
      </c>
      <c r="F179" s="227">
        <v>2500</v>
      </c>
      <c r="G179" s="227">
        <f t="shared" si="89"/>
        <v>2500</v>
      </c>
      <c r="H179" s="347">
        <f t="shared" si="90"/>
        <v>4.238437542384375</v>
      </c>
      <c r="I179" s="642">
        <f t="shared" si="91"/>
        <v>75</v>
      </c>
      <c r="J179" s="642">
        <f t="shared" si="93"/>
        <v>125</v>
      </c>
      <c r="K179" s="642">
        <f t="shared" si="92"/>
        <v>2500</v>
      </c>
      <c r="L179" s="522"/>
      <c r="M179" s="522"/>
      <c r="N179" s="522"/>
      <c r="O179" s="572"/>
    </row>
    <row r="180" spans="1:15" ht="16.5" thickBot="1" x14ac:dyDescent="0.3">
      <c r="A180" s="188">
        <v>11</v>
      </c>
      <c r="B180" s="189" t="s">
        <v>939</v>
      </c>
      <c r="C180" s="225" t="s">
        <v>28</v>
      </c>
      <c r="D180" s="226">
        <v>1</v>
      </c>
      <c r="E180" s="225">
        <v>1</v>
      </c>
      <c r="F180" s="227">
        <v>2500</v>
      </c>
      <c r="G180" s="227">
        <f t="shared" si="89"/>
        <v>2500</v>
      </c>
      <c r="H180" s="347">
        <f t="shared" si="90"/>
        <v>4.238437542384375</v>
      </c>
      <c r="I180" s="642">
        <f t="shared" si="91"/>
        <v>75</v>
      </c>
      <c r="J180" s="642">
        <f t="shared" si="93"/>
        <v>125</v>
      </c>
      <c r="K180" s="642">
        <f t="shared" si="92"/>
        <v>2500</v>
      </c>
      <c r="L180" s="522"/>
      <c r="M180" s="522"/>
      <c r="N180" s="522"/>
      <c r="O180" s="572"/>
    </row>
    <row r="181" spans="1:15" ht="16.5" thickBot="1" x14ac:dyDescent="0.3">
      <c r="A181" s="188">
        <v>12</v>
      </c>
      <c r="B181" s="189" t="s">
        <v>43</v>
      </c>
      <c r="C181" s="225" t="s">
        <v>28</v>
      </c>
      <c r="D181" s="226">
        <v>11</v>
      </c>
      <c r="E181" s="225">
        <v>1</v>
      </c>
      <c r="F181" s="227">
        <v>3000</v>
      </c>
      <c r="G181" s="227">
        <f t="shared" si="89"/>
        <v>33000</v>
      </c>
      <c r="H181" s="347">
        <f t="shared" si="90"/>
        <v>55.947375559473755</v>
      </c>
      <c r="I181" s="642">
        <f t="shared" si="91"/>
        <v>990</v>
      </c>
      <c r="J181" s="642">
        <f>250*D181</f>
        <v>2750</v>
      </c>
      <c r="K181" s="642">
        <f t="shared" si="92"/>
        <v>3000</v>
      </c>
      <c r="L181" s="522"/>
      <c r="M181" s="522"/>
      <c r="N181" s="522"/>
      <c r="O181" s="572"/>
    </row>
    <row r="182" spans="1:15" ht="16.5" thickBot="1" x14ac:dyDescent="0.3">
      <c r="A182" s="188">
        <v>13</v>
      </c>
      <c r="B182" s="189" t="s">
        <v>48</v>
      </c>
      <c r="C182" s="225" t="s">
        <v>28</v>
      </c>
      <c r="D182" s="226">
        <f>SUM(D170:D181)</f>
        <v>23</v>
      </c>
      <c r="E182" s="225">
        <v>1</v>
      </c>
      <c r="F182" s="227">
        <v>3000</v>
      </c>
      <c r="G182" s="227">
        <f t="shared" si="89"/>
        <v>69000</v>
      </c>
      <c r="H182" s="347">
        <f t="shared" si="90"/>
        <v>116.98087616980875</v>
      </c>
      <c r="I182" s="642">
        <f t="shared" si="91"/>
        <v>2070</v>
      </c>
      <c r="J182" s="642">
        <f>250*D182</f>
        <v>5750</v>
      </c>
      <c r="K182" s="642">
        <f t="shared" si="92"/>
        <v>3000</v>
      </c>
      <c r="L182" s="522"/>
      <c r="M182" s="522"/>
      <c r="N182" s="522"/>
      <c r="O182" s="572"/>
    </row>
    <row r="183" spans="1:15" ht="18.75" thickBot="1" x14ac:dyDescent="0.3">
      <c r="A183" s="341"/>
      <c r="B183" s="342" t="s">
        <v>1399</v>
      </c>
      <c r="C183" s="343"/>
      <c r="D183" s="343"/>
      <c r="E183" s="343"/>
      <c r="F183" s="344"/>
      <c r="G183" s="344">
        <f>SUM(G170:G182)</f>
        <v>132000</v>
      </c>
      <c r="H183" s="345">
        <f>SUM(H170:H182)</f>
        <v>223.78950223789502</v>
      </c>
      <c r="I183" s="263">
        <f>SUM(I170:I182)</f>
        <v>3960</v>
      </c>
      <c r="J183" s="263">
        <f>SUM(J170:J182)</f>
        <v>10000</v>
      </c>
      <c r="K183" s="522"/>
      <c r="L183" s="522"/>
      <c r="M183" s="522"/>
      <c r="N183" s="522"/>
      <c r="O183" s="572"/>
    </row>
    <row r="184" spans="1:15" ht="18.75" thickBot="1" x14ac:dyDescent="0.3">
      <c r="A184" s="780" t="s">
        <v>523</v>
      </c>
      <c r="B184" s="781"/>
      <c r="C184" s="781"/>
      <c r="D184" s="781"/>
      <c r="E184" s="783"/>
      <c r="F184" s="348"/>
      <c r="G184" s="349"/>
      <c r="H184" s="350"/>
      <c r="I184" s="523"/>
      <c r="J184" s="522"/>
      <c r="K184" s="522"/>
      <c r="L184" s="522"/>
      <c r="M184" s="522"/>
      <c r="N184" s="522"/>
      <c r="O184" s="572"/>
    </row>
    <row r="185" spans="1:15" ht="18.75" thickBot="1" x14ac:dyDescent="0.3">
      <c r="A185" s="205"/>
      <c r="B185" s="205" t="s">
        <v>403</v>
      </c>
      <c r="C185" s="205"/>
      <c r="D185" s="205"/>
      <c r="E185" s="205"/>
      <c r="F185" s="205"/>
      <c r="G185" s="205"/>
      <c r="H185" s="355"/>
      <c r="I185" s="523"/>
      <c r="J185" s="522"/>
      <c r="K185" s="522"/>
      <c r="L185" s="522"/>
      <c r="M185" s="522"/>
      <c r="N185" s="522"/>
      <c r="O185" s="572"/>
    </row>
    <row r="186" spans="1:15" ht="16.5" thickBot="1" x14ac:dyDescent="0.3">
      <c r="A186" s="188">
        <v>1</v>
      </c>
      <c r="B186" s="189" t="s">
        <v>940</v>
      </c>
      <c r="C186" s="225" t="s">
        <v>28</v>
      </c>
      <c r="D186" s="226">
        <v>1</v>
      </c>
      <c r="E186" s="225">
        <v>1</v>
      </c>
      <c r="F186" s="227">
        <v>5000</v>
      </c>
      <c r="G186" s="227">
        <f t="shared" ref="G186:G208" si="94">D186*E186*F186</f>
        <v>5000</v>
      </c>
      <c r="H186" s="347">
        <f t="shared" ref="H186:H208" si="95">G186/589.84</f>
        <v>8.47687508476875</v>
      </c>
      <c r="I186" s="642">
        <f t="shared" ref="I186:I204" si="96">G186*0.03</f>
        <v>150</v>
      </c>
      <c r="J186" s="642">
        <f>250*D186</f>
        <v>250</v>
      </c>
      <c r="K186" s="642">
        <f t="shared" ref="K186:K204" si="97">G186/D186</f>
        <v>5000</v>
      </c>
      <c r="L186" s="522"/>
      <c r="M186" s="522"/>
      <c r="N186" s="522"/>
      <c r="O186" s="572"/>
    </row>
    <row r="187" spans="1:15" ht="16.5" thickBot="1" x14ac:dyDescent="0.3">
      <c r="A187" s="188">
        <v>2</v>
      </c>
      <c r="B187" s="189" t="s">
        <v>941</v>
      </c>
      <c r="C187" s="225" t="s">
        <v>28</v>
      </c>
      <c r="D187" s="226">
        <v>1</v>
      </c>
      <c r="E187" s="225">
        <v>1</v>
      </c>
      <c r="F187" s="227">
        <v>8000</v>
      </c>
      <c r="G187" s="227">
        <f t="shared" si="94"/>
        <v>8000</v>
      </c>
      <c r="H187" s="347">
        <f t="shared" si="95"/>
        <v>13.56300013563</v>
      </c>
      <c r="I187" s="642">
        <f t="shared" si="96"/>
        <v>240</v>
      </c>
      <c r="J187" s="642">
        <f>350*D187</f>
        <v>350</v>
      </c>
      <c r="K187" s="642">
        <f t="shared" si="97"/>
        <v>8000</v>
      </c>
      <c r="L187" s="522"/>
      <c r="M187" s="522"/>
      <c r="N187" s="522"/>
      <c r="O187" s="572"/>
    </row>
    <row r="188" spans="1:15" ht="16.5" thickBot="1" x14ac:dyDescent="0.3">
      <c r="A188" s="188">
        <v>3</v>
      </c>
      <c r="B188" s="189" t="s">
        <v>942</v>
      </c>
      <c r="C188" s="225" t="s">
        <v>28</v>
      </c>
      <c r="D188" s="226">
        <v>1</v>
      </c>
      <c r="E188" s="225">
        <v>1</v>
      </c>
      <c r="F188" s="227">
        <v>8000</v>
      </c>
      <c r="G188" s="227">
        <f t="shared" si="94"/>
        <v>8000</v>
      </c>
      <c r="H188" s="347">
        <f t="shared" si="95"/>
        <v>13.56300013563</v>
      </c>
      <c r="I188" s="642">
        <f t="shared" si="96"/>
        <v>240</v>
      </c>
      <c r="J188" s="642">
        <f t="shared" ref="J188:J196" si="98">350*D188</f>
        <v>350</v>
      </c>
      <c r="K188" s="642">
        <f t="shared" si="97"/>
        <v>8000</v>
      </c>
      <c r="L188" s="522"/>
      <c r="M188" s="522"/>
      <c r="N188" s="522"/>
      <c r="O188" s="572"/>
    </row>
    <row r="189" spans="1:15" ht="16.5" thickBot="1" x14ac:dyDescent="0.3">
      <c r="A189" s="188">
        <v>4</v>
      </c>
      <c r="B189" s="189" t="s">
        <v>943</v>
      </c>
      <c r="C189" s="225" t="s">
        <v>28</v>
      </c>
      <c r="D189" s="226">
        <v>1</v>
      </c>
      <c r="E189" s="225">
        <v>1</v>
      </c>
      <c r="F189" s="227">
        <v>8000</v>
      </c>
      <c r="G189" s="227">
        <f t="shared" si="94"/>
        <v>8000</v>
      </c>
      <c r="H189" s="347">
        <f t="shared" si="95"/>
        <v>13.56300013563</v>
      </c>
      <c r="I189" s="642">
        <f t="shared" si="96"/>
        <v>240</v>
      </c>
      <c r="J189" s="642">
        <f t="shared" si="98"/>
        <v>350</v>
      </c>
      <c r="K189" s="642">
        <f t="shared" si="97"/>
        <v>8000</v>
      </c>
      <c r="L189" s="522"/>
      <c r="M189" s="522"/>
      <c r="N189" s="522"/>
      <c r="O189" s="572"/>
    </row>
    <row r="190" spans="1:15" ht="16.5" thickBot="1" x14ac:dyDescent="0.3">
      <c r="A190" s="188">
        <v>5</v>
      </c>
      <c r="B190" s="189" t="s">
        <v>944</v>
      </c>
      <c r="C190" s="225" t="s">
        <v>28</v>
      </c>
      <c r="D190" s="226">
        <v>1</v>
      </c>
      <c r="E190" s="225">
        <v>1</v>
      </c>
      <c r="F190" s="227">
        <v>8000</v>
      </c>
      <c r="G190" s="227">
        <f t="shared" si="94"/>
        <v>8000</v>
      </c>
      <c r="H190" s="347">
        <f t="shared" si="95"/>
        <v>13.56300013563</v>
      </c>
      <c r="I190" s="642">
        <f t="shared" si="96"/>
        <v>240</v>
      </c>
      <c r="J190" s="642">
        <f t="shared" si="98"/>
        <v>350</v>
      </c>
      <c r="K190" s="642">
        <f t="shared" si="97"/>
        <v>8000</v>
      </c>
      <c r="L190" s="522"/>
      <c r="M190" s="522"/>
      <c r="N190" s="522"/>
      <c r="O190" s="572"/>
    </row>
    <row r="191" spans="1:15" ht="16.5" thickBot="1" x14ac:dyDescent="0.3">
      <c r="A191" s="188">
        <v>6</v>
      </c>
      <c r="B191" s="189" t="s">
        <v>945</v>
      </c>
      <c r="C191" s="225" t="s">
        <v>28</v>
      </c>
      <c r="D191" s="226">
        <v>1</v>
      </c>
      <c r="E191" s="225">
        <v>1</v>
      </c>
      <c r="F191" s="227">
        <v>8000</v>
      </c>
      <c r="G191" s="227">
        <f t="shared" si="94"/>
        <v>8000</v>
      </c>
      <c r="H191" s="347">
        <f t="shared" si="95"/>
        <v>13.56300013563</v>
      </c>
      <c r="I191" s="642">
        <f t="shared" si="96"/>
        <v>240</v>
      </c>
      <c r="J191" s="642">
        <f t="shared" si="98"/>
        <v>350</v>
      </c>
      <c r="K191" s="642">
        <f t="shared" si="97"/>
        <v>8000</v>
      </c>
      <c r="L191" s="522"/>
      <c r="M191" s="522"/>
      <c r="N191" s="522"/>
      <c r="O191" s="572"/>
    </row>
    <row r="192" spans="1:15" ht="16.5" thickBot="1" x14ac:dyDescent="0.3">
      <c r="A192" s="188">
        <v>7</v>
      </c>
      <c r="B192" s="189" t="s">
        <v>946</v>
      </c>
      <c r="C192" s="225" t="s">
        <v>28</v>
      </c>
      <c r="D192" s="226">
        <v>1</v>
      </c>
      <c r="E192" s="225">
        <v>1</v>
      </c>
      <c r="F192" s="227">
        <v>8000</v>
      </c>
      <c r="G192" s="227">
        <f t="shared" si="94"/>
        <v>8000</v>
      </c>
      <c r="H192" s="347">
        <f t="shared" si="95"/>
        <v>13.56300013563</v>
      </c>
      <c r="I192" s="642">
        <f t="shared" si="96"/>
        <v>240</v>
      </c>
      <c r="J192" s="642">
        <f t="shared" si="98"/>
        <v>350</v>
      </c>
      <c r="K192" s="642">
        <f t="shared" si="97"/>
        <v>8000</v>
      </c>
      <c r="L192" s="522"/>
      <c r="M192" s="522"/>
      <c r="N192" s="522"/>
      <c r="O192" s="572"/>
    </row>
    <row r="193" spans="1:15" ht="16.5" thickBot="1" x14ac:dyDescent="0.3">
      <c r="A193" s="188">
        <v>8</v>
      </c>
      <c r="B193" s="189" t="s">
        <v>947</v>
      </c>
      <c r="C193" s="225" t="s">
        <v>28</v>
      </c>
      <c r="D193" s="226">
        <v>1</v>
      </c>
      <c r="E193" s="225">
        <v>1</v>
      </c>
      <c r="F193" s="227">
        <v>8000</v>
      </c>
      <c r="G193" s="227">
        <f t="shared" si="94"/>
        <v>8000</v>
      </c>
      <c r="H193" s="347">
        <f t="shared" si="95"/>
        <v>13.56300013563</v>
      </c>
      <c r="I193" s="642">
        <f t="shared" si="96"/>
        <v>240</v>
      </c>
      <c r="J193" s="642">
        <f t="shared" si="98"/>
        <v>350</v>
      </c>
      <c r="K193" s="642">
        <f t="shared" si="97"/>
        <v>8000</v>
      </c>
      <c r="L193" s="522"/>
      <c r="M193" s="522"/>
      <c r="N193" s="522"/>
      <c r="O193" s="572"/>
    </row>
    <row r="194" spans="1:15" ht="16.5" thickBot="1" x14ac:dyDescent="0.3">
      <c r="A194" s="188">
        <v>9</v>
      </c>
      <c r="B194" s="189" t="s">
        <v>948</v>
      </c>
      <c r="C194" s="225" t="s">
        <v>28</v>
      </c>
      <c r="D194" s="226">
        <v>1</v>
      </c>
      <c r="E194" s="225">
        <v>1</v>
      </c>
      <c r="F194" s="227">
        <v>8000</v>
      </c>
      <c r="G194" s="227">
        <f t="shared" si="94"/>
        <v>8000</v>
      </c>
      <c r="H194" s="347">
        <f t="shared" si="95"/>
        <v>13.56300013563</v>
      </c>
      <c r="I194" s="642">
        <f t="shared" si="96"/>
        <v>240</v>
      </c>
      <c r="J194" s="642">
        <f t="shared" si="98"/>
        <v>350</v>
      </c>
      <c r="K194" s="642">
        <f t="shared" si="97"/>
        <v>8000</v>
      </c>
      <c r="L194" s="522"/>
      <c r="M194" s="522"/>
      <c r="N194" s="522"/>
      <c r="O194" s="572"/>
    </row>
    <row r="195" spans="1:15" ht="16.5" thickBot="1" x14ac:dyDescent="0.3">
      <c r="A195" s="188">
        <v>10</v>
      </c>
      <c r="B195" s="189" t="s">
        <v>949</v>
      </c>
      <c r="C195" s="225" t="s">
        <v>28</v>
      </c>
      <c r="D195" s="226">
        <v>1</v>
      </c>
      <c r="E195" s="225">
        <v>1</v>
      </c>
      <c r="F195" s="227">
        <v>8000</v>
      </c>
      <c r="G195" s="227">
        <f t="shared" si="94"/>
        <v>8000</v>
      </c>
      <c r="H195" s="347">
        <f t="shared" si="95"/>
        <v>13.56300013563</v>
      </c>
      <c r="I195" s="642">
        <f t="shared" si="96"/>
        <v>240</v>
      </c>
      <c r="J195" s="642">
        <f t="shared" si="98"/>
        <v>350</v>
      </c>
      <c r="K195" s="642">
        <f t="shared" si="97"/>
        <v>8000</v>
      </c>
      <c r="L195" s="522"/>
      <c r="M195" s="522"/>
      <c r="N195" s="522"/>
      <c r="O195" s="572"/>
    </row>
    <row r="196" spans="1:15" ht="16.5" thickBot="1" x14ac:dyDescent="0.3">
      <c r="A196" s="188">
        <v>11</v>
      </c>
      <c r="B196" s="189" t="s">
        <v>950</v>
      </c>
      <c r="C196" s="225" t="s">
        <v>28</v>
      </c>
      <c r="D196" s="226">
        <v>1</v>
      </c>
      <c r="E196" s="225">
        <v>1</v>
      </c>
      <c r="F196" s="227">
        <v>8000</v>
      </c>
      <c r="G196" s="227">
        <f t="shared" si="94"/>
        <v>8000</v>
      </c>
      <c r="H196" s="347">
        <f t="shared" si="95"/>
        <v>13.56300013563</v>
      </c>
      <c r="I196" s="642">
        <f t="shared" si="96"/>
        <v>240</v>
      </c>
      <c r="J196" s="642">
        <f t="shared" si="98"/>
        <v>350</v>
      </c>
      <c r="K196" s="642">
        <f t="shared" si="97"/>
        <v>8000</v>
      </c>
      <c r="L196" s="522"/>
      <c r="M196" s="522"/>
      <c r="N196" s="522"/>
      <c r="O196" s="572"/>
    </row>
    <row r="197" spans="1:15" ht="16.5" thickBot="1" x14ac:dyDescent="0.3">
      <c r="A197" s="188">
        <v>12</v>
      </c>
      <c r="B197" s="189" t="s">
        <v>406</v>
      </c>
      <c r="C197" s="225" t="s">
        <v>28</v>
      </c>
      <c r="D197" s="226">
        <v>1</v>
      </c>
      <c r="E197" s="225">
        <v>1</v>
      </c>
      <c r="F197" s="227">
        <v>5000</v>
      </c>
      <c r="G197" s="227">
        <f t="shared" si="94"/>
        <v>5000</v>
      </c>
      <c r="H197" s="347">
        <f t="shared" si="95"/>
        <v>8.47687508476875</v>
      </c>
      <c r="I197" s="642">
        <f t="shared" si="96"/>
        <v>150</v>
      </c>
      <c r="J197" s="642">
        <f t="shared" ref="J197:J199" si="99">250*D197</f>
        <v>250</v>
      </c>
      <c r="K197" s="642">
        <f t="shared" si="97"/>
        <v>5000</v>
      </c>
      <c r="L197" s="522"/>
      <c r="M197" s="522"/>
      <c r="N197" s="522"/>
      <c r="O197" s="572"/>
    </row>
    <row r="198" spans="1:15" ht="16.5" thickBot="1" x14ac:dyDescent="0.3">
      <c r="A198" s="188">
        <v>13</v>
      </c>
      <c r="B198" s="189" t="s">
        <v>407</v>
      </c>
      <c r="C198" s="225" t="s">
        <v>28</v>
      </c>
      <c r="D198" s="226">
        <v>2</v>
      </c>
      <c r="E198" s="225">
        <v>1</v>
      </c>
      <c r="F198" s="227">
        <v>5000</v>
      </c>
      <c r="G198" s="227">
        <f t="shared" si="94"/>
        <v>10000</v>
      </c>
      <c r="H198" s="347">
        <f t="shared" si="95"/>
        <v>16.9537501695375</v>
      </c>
      <c r="I198" s="642">
        <f t="shared" si="96"/>
        <v>300</v>
      </c>
      <c r="J198" s="642">
        <f t="shared" si="99"/>
        <v>500</v>
      </c>
      <c r="K198" s="642">
        <f t="shared" si="97"/>
        <v>5000</v>
      </c>
      <c r="L198" s="522"/>
      <c r="M198" s="522"/>
      <c r="N198" s="522"/>
      <c r="O198" s="572"/>
    </row>
    <row r="199" spans="1:15" ht="16.5" thickBot="1" x14ac:dyDescent="0.3">
      <c r="A199" s="188">
        <v>14</v>
      </c>
      <c r="B199" s="189" t="s">
        <v>408</v>
      </c>
      <c r="C199" s="225" t="s">
        <v>28</v>
      </c>
      <c r="D199" s="226">
        <v>8</v>
      </c>
      <c r="E199" s="225">
        <v>1</v>
      </c>
      <c r="F199" s="227">
        <v>5000</v>
      </c>
      <c r="G199" s="227">
        <f t="shared" si="94"/>
        <v>40000</v>
      </c>
      <c r="H199" s="347">
        <f t="shared" si="95"/>
        <v>67.81500067815</v>
      </c>
      <c r="I199" s="642">
        <f t="shared" si="96"/>
        <v>1200</v>
      </c>
      <c r="J199" s="642">
        <f t="shared" si="99"/>
        <v>2000</v>
      </c>
      <c r="K199" s="642">
        <f t="shared" si="97"/>
        <v>5000</v>
      </c>
      <c r="L199" s="522"/>
      <c r="M199" s="522"/>
      <c r="N199" s="522"/>
      <c r="O199" s="572"/>
    </row>
    <row r="200" spans="1:15" ht="16.5" thickBot="1" x14ac:dyDescent="0.3">
      <c r="A200" s="188">
        <v>15</v>
      </c>
      <c r="B200" s="189" t="s">
        <v>425</v>
      </c>
      <c r="C200" s="225" t="s">
        <v>28</v>
      </c>
      <c r="D200" s="226">
        <v>2</v>
      </c>
      <c r="E200" s="225">
        <v>1</v>
      </c>
      <c r="F200" s="227">
        <v>0</v>
      </c>
      <c r="G200" s="227">
        <f t="shared" si="94"/>
        <v>0</v>
      </c>
      <c r="H200" s="347">
        <f t="shared" si="95"/>
        <v>0</v>
      </c>
      <c r="I200" s="642">
        <f>G200*0.03</f>
        <v>0</v>
      </c>
      <c r="J200" s="642">
        <v>0</v>
      </c>
      <c r="K200" s="642">
        <f t="shared" si="97"/>
        <v>0</v>
      </c>
      <c r="L200" s="522"/>
      <c r="M200" s="522"/>
      <c r="N200" s="522"/>
      <c r="O200" s="572"/>
    </row>
    <row r="201" spans="1:15" ht="16.5" thickBot="1" x14ac:dyDescent="0.3">
      <c r="A201" s="188">
        <v>16</v>
      </c>
      <c r="B201" s="189" t="s">
        <v>423</v>
      </c>
      <c r="C201" s="225" t="s">
        <v>28</v>
      </c>
      <c r="D201" s="226">
        <v>1</v>
      </c>
      <c r="E201" s="225">
        <v>1</v>
      </c>
      <c r="F201" s="227">
        <v>5000</v>
      </c>
      <c r="G201" s="227">
        <f t="shared" si="94"/>
        <v>5000</v>
      </c>
      <c r="H201" s="347">
        <f t="shared" si="95"/>
        <v>8.47687508476875</v>
      </c>
      <c r="I201" s="642">
        <f t="shared" si="96"/>
        <v>150</v>
      </c>
      <c r="J201" s="642">
        <f t="shared" ref="J201:J203" si="100">250*D201</f>
        <v>250</v>
      </c>
      <c r="K201" s="642">
        <f t="shared" si="97"/>
        <v>5000</v>
      </c>
      <c r="L201" s="522"/>
      <c r="M201" s="522"/>
      <c r="N201" s="522"/>
      <c r="O201" s="572"/>
    </row>
    <row r="202" spans="1:15" ht="16.5" thickBot="1" x14ac:dyDescent="0.3">
      <c r="A202" s="188">
        <v>17</v>
      </c>
      <c r="B202" s="189" t="s">
        <v>424</v>
      </c>
      <c r="C202" s="225" t="s">
        <v>28</v>
      </c>
      <c r="D202" s="226">
        <v>1</v>
      </c>
      <c r="E202" s="225">
        <v>1</v>
      </c>
      <c r="F202" s="227">
        <v>5000</v>
      </c>
      <c r="G202" s="227">
        <f t="shared" si="94"/>
        <v>5000</v>
      </c>
      <c r="H202" s="347">
        <f t="shared" si="95"/>
        <v>8.47687508476875</v>
      </c>
      <c r="I202" s="642">
        <f t="shared" si="96"/>
        <v>150</v>
      </c>
      <c r="J202" s="642">
        <f t="shared" si="100"/>
        <v>250</v>
      </c>
      <c r="K202" s="642">
        <f t="shared" si="97"/>
        <v>5000</v>
      </c>
      <c r="L202" s="522"/>
      <c r="M202" s="522"/>
      <c r="N202" s="522"/>
      <c r="O202" s="572"/>
    </row>
    <row r="203" spans="1:15" ht="16.5" thickBot="1" x14ac:dyDescent="0.3">
      <c r="A203" s="188">
        <v>18</v>
      </c>
      <c r="B203" s="189" t="s">
        <v>409</v>
      </c>
      <c r="C203" s="225" t="s">
        <v>28</v>
      </c>
      <c r="D203" s="226">
        <v>1</v>
      </c>
      <c r="E203" s="225">
        <v>1</v>
      </c>
      <c r="F203" s="227">
        <v>3000</v>
      </c>
      <c r="G203" s="227">
        <f t="shared" si="94"/>
        <v>3000</v>
      </c>
      <c r="H203" s="347">
        <f t="shared" si="95"/>
        <v>5.0861250508612503</v>
      </c>
      <c r="I203" s="642">
        <f t="shared" si="96"/>
        <v>90</v>
      </c>
      <c r="J203" s="642">
        <f t="shared" si="100"/>
        <v>250</v>
      </c>
      <c r="K203" s="642">
        <f t="shared" si="97"/>
        <v>3000</v>
      </c>
      <c r="L203" s="522"/>
      <c r="M203" s="522"/>
      <c r="N203" s="522"/>
      <c r="O203" s="572"/>
    </row>
    <row r="204" spans="1:15" ht="16.5" thickBot="1" x14ac:dyDescent="0.3">
      <c r="A204" s="188">
        <v>19</v>
      </c>
      <c r="B204" s="189" t="s">
        <v>426</v>
      </c>
      <c r="C204" s="225" t="s">
        <v>28</v>
      </c>
      <c r="D204" s="226">
        <f>SUM(D186:D203)</f>
        <v>27</v>
      </c>
      <c r="E204" s="225">
        <v>1</v>
      </c>
      <c r="F204" s="227">
        <v>5000</v>
      </c>
      <c r="G204" s="227">
        <f t="shared" si="94"/>
        <v>135000</v>
      </c>
      <c r="H204" s="347">
        <f t="shared" si="95"/>
        <v>228.87562728875625</v>
      </c>
      <c r="I204" s="642">
        <f t="shared" si="96"/>
        <v>4050</v>
      </c>
      <c r="J204" s="642">
        <f>250*D204</f>
        <v>6750</v>
      </c>
      <c r="K204" s="642">
        <f t="shared" si="97"/>
        <v>5000</v>
      </c>
      <c r="L204" s="522"/>
      <c r="M204" s="522"/>
      <c r="N204" s="522"/>
      <c r="O204" s="572"/>
    </row>
    <row r="205" spans="1:15" ht="16.5" thickBot="1" x14ac:dyDescent="0.3">
      <c r="A205" s="22">
        <v>20</v>
      </c>
      <c r="B205" s="26" t="s">
        <v>1309</v>
      </c>
      <c r="C205" s="23" t="s">
        <v>30</v>
      </c>
      <c r="D205" s="226">
        <v>500</v>
      </c>
      <c r="E205" s="23">
        <v>2</v>
      </c>
      <c r="F205" s="25">
        <v>1000</v>
      </c>
      <c r="G205" s="227">
        <f t="shared" si="94"/>
        <v>1000000</v>
      </c>
      <c r="H205" s="347">
        <f t="shared" si="95"/>
        <v>1695.37501695375</v>
      </c>
      <c r="I205" s="642">
        <v>0</v>
      </c>
      <c r="J205" s="642">
        <v>0</v>
      </c>
      <c r="K205" s="642">
        <v>0</v>
      </c>
      <c r="L205" s="522"/>
      <c r="M205" s="522"/>
      <c r="N205" s="522"/>
      <c r="O205" s="572"/>
    </row>
    <row r="206" spans="1:15" ht="16.5" thickBot="1" x14ac:dyDescent="0.3">
      <c r="A206" s="22">
        <v>21</v>
      </c>
      <c r="B206" s="26" t="s">
        <v>1300</v>
      </c>
      <c r="C206" s="23" t="s">
        <v>1301</v>
      </c>
      <c r="D206" s="226">
        <f>D205/25</f>
        <v>20</v>
      </c>
      <c r="E206" s="23">
        <v>2</v>
      </c>
      <c r="F206" s="25">
        <v>6000</v>
      </c>
      <c r="G206" s="227">
        <f t="shared" si="94"/>
        <v>240000</v>
      </c>
      <c r="H206" s="347">
        <f t="shared" si="95"/>
        <v>406.8900040689</v>
      </c>
      <c r="I206" s="642">
        <v>0</v>
      </c>
      <c r="J206" s="642">
        <v>0</v>
      </c>
      <c r="K206" s="642">
        <f t="shared" ref="K206:K208" si="101">I206*0.03</f>
        <v>0</v>
      </c>
      <c r="L206" s="522"/>
      <c r="M206" s="522"/>
      <c r="N206" s="522"/>
      <c r="O206" s="572"/>
    </row>
    <row r="207" spans="1:15" ht="16.5" thickBot="1" x14ac:dyDescent="0.3">
      <c r="A207" s="22">
        <v>22</v>
      </c>
      <c r="B207" s="26" t="s">
        <v>274</v>
      </c>
      <c r="C207" s="23" t="s">
        <v>28</v>
      </c>
      <c r="D207" s="226">
        <v>0</v>
      </c>
      <c r="E207" s="23">
        <v>0</v>
      </c>
      <c r="F207" s="25">
        <v>0</v>
      </c>
      <c r="G207" s="227">
        <f t="shared" si="94"/>
        <v>0</v>
      </c>
      <c r="H207" s="347">
        <f t="shared" si="95"/>
        <v>0</v>
      </c>
      <c r="I207" s="642">
        <f t="shared" ref="I207" si="102">G207*0.03</f>
        <v>0</v>
      </c>
      <c r="J207" s="642">
        <f t="shared" ref="J207" si="103">H207*0.03</f>
        <v>0</v>
      </c>
      <c r="K207" s="642">
        <f t="shared" si="101"/>
        <v>0</v>
      </c>
      <c r="L207" s="522"/>
      <c r="M207" s="522"/>
      <c r="N207" s="522"/>
      <c r="O207" s="572"/>
    </row>
    <row r="208" spans="1:15" ht="16.5" thickBot="1" x14ac:dyDescent="0.3">
      <c r="A208" s="22">
        <v>23</v>
      </c>
      <c r="B208" s="26" t="s">
        <v>273</v>
      </c>
      <c r="C208" s="39" t="s">
        <v>29</v>
      </c>
      <c r="D208" s="24">
        <v>20</v>
      </c>
      <c r="E208" s="23">
        <v>1</v>
      </c>
      <c r="F208" s="25">
        <v>1000</v>
      </c>
      <c r="G208" s="227">
        <f t="shared" si="94"/>
        <v>20000</v>
      </c>
      <c r="H208" s="347">
        <f t="shared" si="95"/>
        <v>33.907500339075</v>
      </c>
      <c r="I208" s="642">
        <v>0</v>
      </c>
      <c r="J208" s="642">
        <v>0</v>
      </c>
      <c r="K208" s="642">
        <f t="shared" si="101"/>
        <v>0</v>
      </c>
      <c r="L208" s="522"/>
      <c r="M208" s="522"/>
      <c r="N208" s="522"/>
      <c r="O208" s="572"/>
    </row>
    <row r="209" spans="1:48" ht="19.149999999999999" customHeight="1" thickBot="1" x14ac:dyDescent="0.3">
      <c r="A209" s="780" t="s">
        <v>527</v>
      </c>
      <c r="B209" s="781"/>
      <c r="C209" s="781"/>
      <c r="D209" s="781"/>
      <c r="E209" s="783"/>
      <c r="F209" s="348"/>
      <c r="G209" s="349">
        <f>SUM(G186:G208)</f>
        <v>1548000</v>
      </c>
      <c r="H209" s="350">
        <f>SUM(H186:H208)</f>
        <v>2624.4405262444047</v>
      </c>
      <c r="I209" s="263">
        <f>SUM(I186:I208)</f>
        <v>8640</v>
      </c>
      <c r="J209" s="263">
        <f>SUM(J186:J208)</f>
        <v>14000</v>
      </c>
      <c r="K209" s="522"/>
      <c r="L209" s="522"/>
      <c r="M209" s="522"/>
      <c r="N209" s="522"/>
      <c r="O209" s="572"/>
    </row>
    <row r="210" spans="1:48" ht="18" x14ac:dyDescent="0.25">
      <c r="A210" s="231"/>
      <c r="B210" s="234" t="s">
        <v>427</v>
      </c>
      <c r="C210" s="232"/>
      <c r="D210" s="232"/>
      <c r="E210" s="232"/>
      <c r="F210" s="232"/>
      <c r="G210" s="232"/>
      <c r="H210" s="232"/>
      <c r="I210" s="523"/>
      <c r="J210" s="522"/>
      <c r="K210" s="522"/>
      <c r="L210" s="522"/>
      <c r="M210" s="522"/>
      <c r="N210" s="522"/>
      <c r="O210" s="572"/>
    </row>
    <row r="211" spans="1:48" ht="18.75" thickBot="1" x14ac:dyDescent="0.3">
      <c r="A211" s="205"/>
      <c r="B211" s="205" t="s">
        <v>1511</v>
      </c>
      <c r="C211" s="205"/>
      <c r="D211" s="205"/>
      <c r="E211" s="205"/>
      <c r="F211" s="205"/>
      <c r="G211" s="205"/>
      <c r="H211" s="355"/>
      <c r="I211" s="523"/>
      <c r="J211" s="522"/>
      <c r="K211" s="522"/>
      <c r="L211" s="522"/>
      <c r="M211" s="522"/>
      <c r="N211" s="522"/>
      <c r="O211" s="572"/>
    </row>
    <row r="212" spans="1:48" ht="16.5" thickBot="1" x14ac:dyDescent="0.3">
      <c r="A212" s="188">
        <v>1</v>
      </c>
      <c r="B212" s="189" t="s">
        <v>951</v>
      </c>
      <c r="C212" s="225" t="s">
        <v>28</v>
      </c>
      <c r="D212" s="403">
        <v>19</v>
      </c>
      <c r="E212" s="225">
        <v>1</v>
      </c>
      <c r="F212" s="28">
        <f>7500-5000</f>
        <v>2500</v>
      </c>
      <c r="G212" s="227">
        <f t="shared" ref="G212:G226" si="104">D212*E212*F212</f>
        <v>47500</v>
      </c>
      <c r="H212" s="347">
        <f t="shared" ref="H212:H226" si="105">G212/589.84</f>
        <v>80.530313305303125</v>
      </c>
      <c r="I212" s="642">
        <f t="shared" ref="I212:I224" si="106">G212*0.03</f>
        <v>1425</v>
      </c>
      <c r="J212" s="642">
        <f>125*D212</f>
        <v>2375</v>
      </c>
      <c r="K212" s="642">
        <f t="shared" ref="K212:K223" si="107">G212/D212</f>
        <v>2500</v>
      </c>
      <c r="L212" s="522"/>
      <c r="M212" s="522"/>
      <c r="N212" s="522"/>
      <c r="O212" s="572"/>
    </row>
    <row r="213" spans="1:48" ht="29.25" thickBot="1" x14ac:dyDescent="0.3">
      <c r="A213" s="188">
        <v>2</v>
      </c>
      <c r="B213" s="189" t="s">
        <v>952</v>
      </c>
      <c r="C213" s="225" t="s">
        <v>28</v>
      </c>
      <c r="D213" s="403">
        <v>7</v>
      </c>
      <c r="E213" s="225">
        <v>1</v>
      </c>
      <c r="F213" s="28">
        <f t="shared" ref="F213:F222" si="108">7500-5000</f>
        <v>2500</v>
      </c>
      <c r="G213" s="227">
        <f t="shared" si="104"/>
        <v>17500</v>
      </c>
      <c r="H213" s="347">
        <f t="shared" si="105"/>
        <v>29.669062796690625</v>
      </c>
      <c r="I213" s="642">
        <f t="shared" si="106"/>
        <v>525</v>
      </c>
      <c r="J213" s="642">
        <f t="shared" ref="J213:J222" si="109">125*D213</f>
        <v>875</v>
      </c>
      <c r="K213" s="642">
        <f t="shared" si="107"/>
        <v>2500</v>
      </c>
      <c r="L213" s="522"/>
      <c r="M213" s="522"/>
      <c r="N213" s="522"/>
      <c r="O213" s="572"/>
    </row>
    <row r="214" spans="1:48" ht="16.5" thickBot="1" x14ac:dyDescent="0.3">
      <c r="A214" s="188">
        <v>3</v>
      </c>
      <c r="B214" s="189" t="s">
        <v>953</v>
      </c>
      <c r="C214" s="225" t="s">
        <v>28</v>
      </c>
      <c r="D214" s="403">
        <v>1</v>
      </c>
      <c r="E214" s="225">
        <v>1</v>
      </c>
      <c r="F214" s="28">
        <f t="shared" si="108"/>
        <v>2500</v>
      </c>
      <c r="G214" s="227">
        <f t="shared" si="104"/>
        <v>2500</v>
      </c>
      <c r="H214" s="347">
        <f t="shared" si="105"/>
        <v>4.238437542384375</v>
      </c>
      <c r="I214" s="642">
        <f t="shared" si="106"/>
        <v>75</v>
      </c>
      <c r="J214" s="642">
        <f t="shared" si="109"/>
        <v>125</v>
      </c>
      <c r="K214" s="642">
        <f t="shared" si="107"/>
        <v>2500</v>
      </c>
      <c r="L214" s="522"/>
      <c r="M214" s="522"/>
      <c r="N214" s="522"/>
      <c r="O214" s="572"/>
    </row>
    <row r="215" spans="1:48" ht="16.5" thickBot="1" x14ac:dyDescent="0.3">
      <c r="A215" s="188">
        <v>4</v>
      </c>
      <c r="B215" s="189" t="s">
        <v>954</v>
      </c>
      <c r="C215" s="225" t="s">
        <v>28</v>
      </c>
      <c r="D215" s="403">
        <v>6</v>
      </c>
      <c r="E215" s="225">
        <v>1</v>
      </c>
      <c r="F215" s="28">
        <f t="shared" si="108"/>
        <v>2500</v>
      </c>
      <c r="G215" s="227">
        <f t="shared" si="104"/>
        <v>15000</v>
      </c>
      <c r="H215" s="347">
        <f t="shared" si="105"/>
        <v>25.43062525430625</v>
      </c>
      <c r="I215" s="642">
        <f t="shared" si="106"/>
        <v>450</v>
      </c>
      <c r="J215" s="642">
        <f t="shared" si="109"/>
        <v>750</v>
      </c>
      <c r="K215" s="642">
        <f t="shared" si="107"/>
        <v>2500</v>
      </c>
      <c r="L215" s="522"/>
      <c r="M215" s="522"/>
      <c r="N215" s="522"/>
      <c r="O215" s="572"/>
    </row>
    <row r="216" spans="1:48" ht="16.5" thickBot="1" x14ac:dyDescent="0.3">
      <c r="A216" s="188">
        <v>5</v>
      </c>
      <c r="B216" s="189" t="s">
        <v>955</v>
      </c>
      <c r="C216" s="225" t="s">
        <v>28</v>
      </c>
      <c r="D216" s="403">
        <v>9</v>
      </c>
      <c r="E216" s="225">
        <v>1</v>
      </c>
      <c r="F216" s="28">
        <f t="shared" si="108"/>
        <v>2500</v>
      </c>
      <c r="G216" s="227">
        <f t="shared" si="104"/>
        <v>22500</v>
      </c>
      <c r="H216" s="347">
        <f t="shared" si="105"/>
        <v>38.145937881459375</v>
      </c>
      <c r="I216" s="642">
        <f t="shared" si="106"/>
        <v>675</v>
      </c>
      <c r="J216" s="642">
        <f t="shared" si="109"/>
        <v>1125</v>
      </c>
      <c r="K216" s="642">
        <f t="shared" si="107"/>
        <v>2500</v>
      </c>
      <c r="L216" s="522"/>
      <c r="M216" s="522"/>
      <c r="N216" s="522"/>
      <c r="O216" s="572"/>
    </row>
    <row r="217" spans="1:48" ht="29.25" thickBot="1" x14ac:dyDescent="0.3">
      <c r="A217" s="188">
        <v>6</v>
      </c>
      <c r="B217" s="189" t="s">
        <v>956</v>
      </c>
      <c r="C217" s="225" t="s">
        <v>28</v>
      </c>
      <c r="D217" s="403">
        <v>3</v>
      </c>
      <c r="E217" s="225">
        <v>1</v>
      </c>
      <c r="F217" s="28">
        <f t="shared" si="108"/>
        <v>2500</v>
      </c>
      <c r="G217" s="227">
        <f t="shared" si="104"/>
        <v>7500</v>
      </c>
      <c r="H217" s="347">
        <f t="shared" si="105"/>
        <v>12.715312627153125</v>
      </c>
      <c r="I217" s="642">
        <f t="shared" si="106"/>
        <v>225</v>
      </c>
      <c r="J217" s="642">
        <f t="shared" si="109"/>
        <v>375</v>
      </c>
      <c r="K217" s="642">
        <f t="shared" si="107"/>
        <v>2500</v>
      </c>
      <c r="L217" s="522"/>
      <c r="M217" s="522"/>
      <c r="N217" s="522"/>
      <c r="O217" s="572"/>
    </row>
    <row r="218" spans="1:48" ht="29.25" thickBot="1" x14ac:dyDescent="0.3">
      <c r="A218" s="188">
        <v>7</v>
      </c>
      <c r="B218" s="189" t="s">
        <v>957</v>
      </c>
      <c r="C218" s="225" t="s">
        <v>28</v>
      </c>
      <c r="D218" s="403">
        <v>2</v>
      </c>
      <c r="E218" s="225">
        <v>1</v>
      </c>
      <c r="F218" s="28">
        <f t="shared" si="108"/>
        <v>2500</v>
      </c>
      <c r="G218" s="227">
        <f t="shared" si="104"/>
        <v>5000</v>
      </c>
      <c r="H218" s="347">
        <f t="shared" si="105"/>
        <v>8.47687508476875</v>
      </c>
      <c r="I218" s="642">
        <f t="shared" si="106"/>
        <v>150</v>
      </c>
      <c r="J218" s="642">
        <f t="shared" si="109"/>
        <v>250</v>
      </c>
      <c r="K218" s="642">
        <f t="shared" si="107"/>
        <v>2500</v>
      </c>
      <c r="L218" s="522"/>
      <c r="M218" s="522"/>
      <c r="N218" s="522"/>
      <c r="O218" s="572"/>
    </row>
    <row r="219" spans="1:48" ht="16.5" thickBot="1" x14ac:dyDescent="0.3">
      <c r="A219" s="188">
        <v>8</v>
      </c>
      <c r="B219" s="189" t="s">
        <v>958</v>
      </c>
      <c r="C219" s="225" t="s">
        <v>28</v>
      </c>
      <c r="D219" s="403">
        <v>2</v>
      </c>
      <c r="E219" s="225">
        <v>1</v>
      </c>
      <c r="F219" s="28">
        <f t="shared" si="108"/>
        <v>2500</v>
      </c>
      <c r="G219" s="227">
        <f t="shared" si="104"/>
        <v>5000</v>
      </c>
      <c r="H219" s="347">
        <f t="shared" si="105"/>
        <v>8.47687508476875</v>
      </c>
      <c r="I219" s="642">
        <f t="shared" si="106"/>
        <v>150</v>
      </c>
      <c r="J219" s="642">
        <f t="shared" si="109"/>
        <v>250</v>
      </c>
      <c r="K219" s="642">
        <f t="shared" si="107"/>
        <v>2500</v>
      </c>
      <c r="L219" s="522"/>
      <c r="M219" s="522"/>
      <c r="N219" s="522"/>
      <c r="O219" s="572"/>
    </row>
    <row r="220" spans="1:48" ht="16.5" thickBot="1" x14ac:dyDescent="0.3">
      <c r="A220" s="188">
        <v>9</v>
      </c>
      <c r="B220" s="189" t="s">
        <v>959</v>
      </c>
      <c r="C220" s="225" t="s">
        <v>28</v>
      </c>
      <c r="D220" s="403">
        <v>2</v>
      </c>
      <c r="E220" s="225">
        <v>1</v>
      </c>
      <c r="F220" s="28">
        <f t="shared" si="108"/>
        <v>2500</v>
      </c>
      <c r="G220" s="227">
        <f t="shared" si="104"/>
        <v>5000</v>
      </c>
      <c r="H220" s="347">
        <f t="shared" si="105"/>
        <v>8.47687508476875</v>
      </c>
      <c r="I220" s="642">
        <f t="shared" si="106"/>
        <v>150</v>
      </c>
      <c r="J220" s="642">
        <f t="shared" si="109"/>
        <v>250</v>
      </c>
      <c r="K220" s="642">
        <f t="shared" si="107"/>
        <v>2500</v>
      </c>
      <c r="L220" s="522"/>
      <c r="M220" s="522"/>
      <c r="N220" s="522"/>
      <c r="O220" s="572"/>
    </row>
    <row r="221" spans="1:48" ht="16.5" thickBot="1" x14ac:dyDescent="0.3">
      <c r="A221" s="188">
        <v>10</v>
      </c>
      <c r="B221" s="189" t="s">
        <v>960</v>
      </c>
      <c r="C221" s="225" t="s">
        <v>28</v>
      </c>
      <c r="D221" s="403">
        <v>12</v>
      </c>
      <c r="E221" s="225">
        <v>1</v>
      </c>
      <c r="F221" s="28">
        <f t="shared" si="108"/>
        <v>2500</v>
      </c>
      <c r="G221" s="227">
        <f t="shared" si="104"/>
        <v>30000</v>
      </c>
      <c r="H221" s="347">
        <f t="shared" si="105"/>
        <v>50.8612505086125</v>
      </c>
      <c r="I221" s="642">
        <f t="shared" si="106"/>
        <v>900</v>
      </c>
      <c r="J221" s="642">
        <f t="shared" si="109"/>
        <v>1500</v>
      </c>
      <c r="K221" s="642">
        <f t="shared" si="107"/>
        <v>2500</v>
      </c>
      <c r="L221" s="522"/>
      <c r="M221" s="522"/>
      <c r="N221" s="522"/>
      <c r="O221" s="572"/>
    </row>
    <row r="222" spans="1:48" s="34" customFormat="1" ht="16.5" thickBot="1" x14ac:dyDescent="0.3">
      <c r="A222" s="188">
        <v>11</v>
      </c>
      <c r="B222" s="189" t="s">
        <v>961</v>
      </c>
      <c r="C222" s="225" t="s">
        <v>28</v>
      </c>
      <c r="D222" s="403">
        <v>5</v>
      </c>
      <c r="E222" s="225">
        <v>1</v>
      </c>
      <c r="F222" s="28">
        <f t="shared" si="108"/>
        <v>2500</v>
      </c>
      <c r="G222" s="227">
        <f t="shared" si="104"/>
        <v>12500</v>
      </c>
      <c r="H222" s="347">
        <f t="shared" si="105"/>
        <v>21.192187711921875</v>
      </c>
      <c r="I222" s="642">
        <f t="shared" si="106"/>
        <v>375</v>
      </c>
      <c r="J222" s="642">
        <f t="shared" si="109"/>
        <v>625</v>
      </c>
      <c r="K222" s="642">
        <f t="shared" si="107"/>
        <v>2500</v>
      </c>
      <c r="L222" s="522"/>
      <c r="M222" s="522"/>
      <c r="N222" s="522"/>
      <c r="O222" s="57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</row>
    <row r="223" spans="1:48" s="34" customFormat="1" ht="16.5" thickBot="1" x14ac:dyDescent="0.3">
      <c r="A223" s="188">
        <v>12</v>
      </c>
      <c r="B223" s="189" t="s">
        <v>429</v>
      </c>
      <c r="C223" s="225" t="s">
        <v>28</v>
      </c>
      <c r="D223" s="403">
        <v>11</v>
      </c>
      <c r="E223" s="225">
        <v>1</v>
      </c>
      <c r="F223" s="28">
        <v>3000</v>
      </c>
      <c r="G223" s="227">
        <f t="shared" si="104"/>
        <v>33000</v>
      </c>
      <c r="H223" s="347">
        <f t="shared" si="105"/>
        <v>55.947375559473755</v>
      </c>
      <c r="I223" s="642">
        <f t="shared" si="106"/>
        <v>990</v>
      </c>
      <c r="J223" s="642">
        <f>250*D223</f>
        <v>2750</v>
      </c>
      <c r="K223" s="642">
        <f t="shared" si="107"/>
        <v>3000</v>
      </c>
      <c r="L223" s="522"/>
      <c r="M223" s="522"/>
      <c r="N223" s="522"/>
      <c r="O223" s="572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</row>
    <row r="224" spans="1:48" s="34" customFormat="1" ht="16.5" thickBot="1" x14ac:dyDescent="0.3">
      <c r="A224" s="188">
        <v>13</v>
      </c>
      <c r="B224" s="189" t="s">
        <v>1307</v>
      </c>
      <c r="C224" s="225" t="s">
        <v>28</v>
      </c>
      <c r="D224" s="403">
        <v>0</v>
      </c>
      <c r="E224" s="225">
        <v>1</v>
      </c>
      <c r="F224" s="405">
        <v>25000</v>
      </c>
      <c r="G224" s="227">
        <f t="shared" si="104"/>
        <v>0</v>
      </c>
      <c r="H224" s="347">
        <f t="shared" si="105"/>
        <v>0</v>
      </c>
      <c r="I224" s="642">
        <f t="shared" si="106"/>
        <v>0</v>
      </c>
      <c r="J224" s="642">
        <f t="shared" ref="J224" si="110">1600*D224</f>
        <v>0</v>
      </c>
      <c r="K224" s="642">
        <v>0</v>
      </c>
      <c r="L224" s="522"/>
      <c r="M224" s="522"/>
      <c r="N224" s="522"/>
      <c r="O224" s="572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</row>
    <row r="225" spans="1:49" s="34" customFormat="1" ht="16.5" thickBot="1" x14ac:dyDescent="0.3">
      <c r="A225" s="188">
        <v>14</v>
      </c>
      <c r="B225" s="189" t="s">
        <v>431</v>
      </c>
      <c r="C225" s="225" t="s">
        <v>30</v>
      </c>
      <c r="D225" s="403">
        <v>0</v>
      </c>
      <c r="E225" s="225">
        <v>1</v>
      </c>
      <c r="F225" s="227">
        <v>1000</v>
      </c>
      <c r="G225" s="227">
        <f t="shared" si="104"/>
        <v>0</v>
      </c>
      <c r="H225" s="347">
        <f t="shared" si="105"/>
        <v>0</v>
      </c>
      <c r="I225" s="642">
        <v>0</v>
      </c>
      <c r="J225" s="642">
        <v>0</v>
      </c>
      <c r="K225" s="642">
        <v>0</v>
      </c>
      <c r="L225" s="522"/>
      <c r="M225" s="522"/>
      <c r="N225" s="522"/>
      <c r="O225" s="572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</row>
    <row r="226" spans="1:49" s="34" customFormat="1" ht="16.5" thickBot="1" x14ac:dyDescent="0.3">
      <c r="A226" s="188">
        <v>15</v>
      </c>
      <c r="B226" s="189" t="s">
        <v>432</v>
      </c>
      <c r="C226" s="225" t="s">
        <v>30</v>
      </c>
      <c r="D226" s="403">
        <v>0</v>
      </c>
      <c r="E226" s="225">
        <v>1</v>
      </c>
      <c r="F226" s="227">
        <v>1000</v>
      </c>
      <c r="G226" s="227">
        <f t="shared" si="104"/>
        <v>0</v>
      </c>
      <c r="H226" s="347">
        <f t="shared" si="105"/>
        <v>0</v>
      </c>
      <c r="I226" s="642">
        <v>0</v>
      </c>
      <c r="J226" s="642">
        <f t="shared" ref="J226" si="111">1600*D226</f>
        <v>0</v>
      </c>
      <c r="K226" s="642">
        <v>0</v>
      </c>
      <c r="L226" s="522"/>
      <c r="M226" s="522"/>
      <c r="N226" s="522"/>
      <c r="O226" s="572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</row>
    <row r="227" spans="1:49" s="34" customFormat="1" ht="18.75" thickBot="1" x14ac:dyDescent="0.3">
      <c r="A227" s="341"/>
      <c r="B227" s="342" t="s">
        <v>1399</v>
      </c>
      <c r="C227" s="343"/>
      <c r="D227" s="343"/>
      <c r="E227" s="343"/>
      <c r="F227" s="344"/>
      <c r="G227" s="344">
        <f>SUM(G212:G226)</f>
        <v>203000</v>
      </c>
      <c r="H227" s="345">
        <f>SUM(H212:H226)</f>
        <v>344.1611284416112</v>
      </c>
      <c r="I227" s="263">
        <f>SUM(I212:I226)</f>
        <v>6090</v>
      </c>
      <c r="J227" s="263">
        <f>SUM(J212:J226)</f>
        <v>11250</v>
      </c>
      <c r="K227" s="522"/>
      <c r="L227" s="522"/>
      <c r="M227" s="522"/>
      <c r="N227" s="522"/>
      <c r="O227" s="572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</row>
    <row r="228" spans="1:49" s="48" customFormat="1" ht="18.75" thickBot="1" x14ac:dyDescent="0.3">
      <c r="A228" s="188"/>
      <c r="B228" s="400" t="s">
        <v>1387</v>
      </c>
      <c r="C228" s="18"/>
      <c r="D228" s="18"/>
      <c r="E228" s="18"/>
      <c r="F228" s="18"/>
      <c r="G228" s="18"/>
      <c r="H228" s="18"/>
      <c r="I228" s="554"/>
      <c r="J228" s="522"/>
      <c r="K228" s="522"/>
      <c r="L228" s="522"/>
      <c r="M228" s="522"/>
      <c r="N228" s="522"/>
      <c r="O228" s="572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</row>
    <row r="229" spans="1:49" s="48" customFormat="1" ht="16.5" thickBot="1" x14ac:dyDescent="0.3">
      <c r="A229" s="188">
        <v>1</v>
      </c>
      <c r="B229" s="189" t="s">
        <v>1388</v>
      </c>
      <c r="C229" s="404" t="s">
        <v>28</v>
      </c>
      <c r="D229" s="403">
        <v>15</v>
      </c>
      <c r="E229" s="404">
        <v>1</v>
      </c>
      <c r="F229" s="405">
        <v>5000</v>
      </c>
      <c r="G229" s="405">
        <f t="shared" ref="G229:G232" si="112">D229*E229*F229</f>
        <v>75000</v>
      </c>
      <c r="H229" s="409">
        <f t="shared" ref="H229:H232" si="113">G229/589.84</f>
        <v>127.15312627153125</v>
      </c>
      <c r="I229" s="642">
        <f>G229*0.03</f>
        <v>2250</v>
      </c>
      <c r="J229" s="642">
        <f>250*D229</f>
        <v>3750</v>
      </c>
      <c r="K229" s="642">
        <f t="shared" ref="K229:K230" si="114">G229/D229</f>
        <v>5000</v>
      </c>
      <c r="L229" s="522"/>
      <c r="M229" s="522"/>
      <c r="N229" s="522"/>
      <c r="O229" s="572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</row>
    <row r="230" spans="1:49" s="48" customFormat="1" ht="29.25" thickBot="1" x14ac:dyDescent="0.3">
      <c r="A230" s="188">
        <v>2</v>
      </c>
      <c r="B230" s="189" t="s">
        <v>1474</v>
      </c>
      <c r="C230" s="404" t="s">
        <v>1475</v>
      </c>
      <c r="D230" s="403">
        <v>2</v>
      </c>
      <c r="E230" s="404">
        <v>1</v>
      </c>
      <c r="F230" s="405">
        <v>50000</v>
      </c>
      <c r="G230" s="405">
        <f t="shared" si="112"/>
        <v>100000</v>
      </c>
      <c r="H230" s="409">
        <f t="shared" si="113"/>
        <v>169.537501695375</v>
      </c>
      <c r="I230" s="642">
        <f>G230*0.03</f>
        <v>3000</v>
      </c>
      <c r="J230" s="642">
        <f>1050*D230</f>
        <v>2100</v>
      </c>
      <c r="K230" s="642">
        <f t="shared" si="114"/>
        <v>50000</v>
      </c>
      <c r="L230" s="522"/>
      <c r="M230" s="522"/>
      <c r="N230" s="522"/>
      <c r="O230" s="572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</row>
    <row r="231" spans="1:49" ht="18.75" thickBot="1" x14ac:dyDescent="0.3">
      <c r="A231" s="341"/>
      <c r="B231" s="342" t="s">
        <v>1422</v>
      </c>
      <c r="C231" s="343"/>
      <c r="D231" s="343"/>
      <c r="E231" s="343"/>
      <c r="F231" s="344"/>
      <c r="G231" s="344">
        <f>SUM(G229:G230)</f>
        <v>175000</v>
      </c>
      <c r="H231" s="345">
        <f>SUM(H229:H230)</f>
        <v>296.69062796690628</v>
      </c>
      <c r="I231" s="263">
        <f>SUM(I229:I230)</f>
        <v>5250</v>
      </c>
      <c r="J231" s="263">
        <f>SUM(J229:J230)</f>
        <v>5850</v>
      </c>
      <c r="K231" s="12"/>
      <c r="L231" s="12"/>
      <c r="M231" s="12"/>
      <c r="N231" s="12"/>
      <c r="O231" s="524"/>
    </row>
    <row r="232" spans="1:49" s="48" customFormat="1" ht="15" customHeight="1" thickBot="1" x14ac:dyDescent="0.3">
      <c r="A232" s="188">
        <v>1</v>
      </c>
      <c r="B232" s="235" t="s">
        <v>434</v>
      </c>
      <c r="C232" s="404"/>
      <c r="D232" s="403">
        <v>1</v>
      </c>
      <c r="E232" s="404">
        <v>1</v>
      </c>
      <c r="F232" s="28">
        <v>100000</v>
      </c>
      <c r="G232" s="405">
        <f t="shared" si="112"/>
        <v>100000</v>
      </c>
      <c r="H232" s="409">
        <f t="shared" si="113"/>
        <v>169.537501695375</v>
      </c>
      <c r="I232" s="523"/>
      <c r="J232" s="522"/>
      <c r="K232" s="522"/>
      <c r="L232" s="522"/>
      <c r="M232" s="522"/>
      <c r="N232" s="522"/>
      <c r="O232" s="57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</row>
    <row r="233" spans="1:49" s="48" customFormat="1" ht="30" x14ac:dyDescent="0.25">
      <c r="A233" s="188"/>
      <c r="B233" s="400" t="s">
        <v>1390</v>
      </c>
      <c r="C233" s="18"/>
      <c r="D233" s="18"/>
      <c r="E233" s="18"/>
      <c r="F233" s="18"/>
      <c r="G233" s="18"/>
      <c r="H233" s="416"/>
      <c r="I233" s="523"/>
      <c r="J233" s="522"/>
      <c r="K233" s="522"/>
      <c r="L233" s="522"/>
      <c r="M233" s="522"/>
      <c r="N233" s="522"/>
      <c r="O233" s="572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</row>
    <row r="234" spans="1:49" s="48" customFormat="1" ht="16.5" customHeight="1" x14ac:dyDescent="0.25">
      <c r="A234" s="437">
        <v>1</v>
      </c>
      <c r="B234" s="438" t="s">
        <v>1391</v>
      </c>
      <c r="C234" s="575" t="s">
        <v>17</v>
      </c>
      <c r="D234" s="733">
        <v>200</v>
      </c>
      <c r="E234" s="733">
        <v>1</v>
      </c>
      <c r="F234" s="730">
        <v>800</v>
      </c>
      <c r="G234" s="439">
        <f>+D234*E234*F234</f>
        <v>160000</v>
      </c>
      <c r="H234" s="440">
        <f>+G234/589.84</f>
        <v>271.2600027126</v>
      </c>
      <c r="I234" s="528"/>
      <c r="J234" s="529"/>
      <c r="K234" s="529"/>
      <c r="L234" s="529"/>
      <c r="M234" s="529"/>
      <c r="N234" s="529"/>
      <c r="O234" s="573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</row>
    <row r="235" spans="1:49" s="430" customFormat="1" x14ac:dyDescent="0.25">
      <c r="A235" s="437">
        <v>2</v>
      </c>
      <c r="B235" s="577" t="s">
        <v>1339</v>
      </c>
      <c r="C235" s="577" t="s">
        <v>28</v>
      </c>
      <c r="D235" s="577">
        <v>1</v>
      </c>
      <c r="E235" s="577">
        <v>1</v>
      </c>
      <c r="F235" s="28">
        <v>8000</v>
      </c>
      <c r="G235" s="25">
        <f t="shared" ref="G235:G236" si="115">+D235*E235*F235</f>
        <v>8000</v>
      </c>
      <c r="H235" s="435">
        <f t="shared" ref="H235:H236" si="116">+G235/589.84</f>
        <v>13.56300013563</v>
      </c>
      <c r="I235" s="642">
        <f t="shared" ref="I235:I236" si="117">G235*0.03</f>
        <v>240</v>
      </c>
      <c r="J235" s="642">
        <f>350*D235</f>
        <v>350</v>
      </c>
      <c r="K235" s="642">
        <f t="shared" ref="K235:K236" si="118">G235/D235</f>
        <v>8000</v>
      </c>
      <c r="L235" s="501"/>
      <c r="M235" s="501"/>
      <c r="N235" s="501"/>
      <c r="O235" s="56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 s="499"/>
    </row>
    <row r="236" spans="1:49" s="430" customFormat="1" ht="16.5" thickBot="1" x14ac:dyDescent="0.3">
      <c r="A236" s="437">
        <v>3</v>
      </c>
      <c r="B236" s="577" t="s">
        <v>1394</v>
      </c>
      <c r="C236" s="577" t="s">
        <v>28</v>
      </c>
      <c r="D236" s="577">
        <v>1</v>
      </c>
      <c r="E236" s="577">
        <v>1</v>
      </c>
      <c r="F236" s="28">
        <v>8000</v>
      </c>
      <c r="G236" s="25">
        <f t="shared" si="115"/>
        <v>8000</v>
      </c>
      <c r="H236" s="435">
        <f t="shared" si="116"/>
        <v>13.56300013563</v>
      </c>
      <c r="I236" s="642">
        <f t="shared" si="117"/>
        <v>240</v>
      </c>
      <c r="J236" s="642">
        <f>350*D236</f>
        <v>350</v>
      </c>
      <c r="K236" s="642">
        <f t="shared" si="118"/>
        <v>8000</v>
      </c>
      <c r="L236" s="501"/>
      <c r="M236" s="501"/>
      <c r="N236" s="501"/>
      <c r="O236" s="565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 s="499"/>
    </row>
    <row r="237" spans="1:49" s="34" customFormat="1" ht="18.75" thickBot="1" x14ac:dyDescent="0.3">
      <c r="A237" s="341"/>
      <c r="B237" s="342" t="s">
        <v>1399</v>
      </c>
      <c r="C237" s="343"/>
      <c r="D237" s="343"/>
      <c r="E237" s="343"/>
      <c r="F237" s="344"/>
      <c r="G237" s="344">
        <f>SUM(G234:G236)</f>
        <v>176000</v>
      </c>
      <c r="H237" s="345">
        <f>SUM(H234:H236)</f>
        <v>298.38600298385995</v>
      </c>
      <c r="I237" s="263">
        <f>SUM(I235:I236)</f>
        <v>480</v>
      </c>
      <c r="J237" s="263">
        <f>SUM(J235:J236)</f>
        <v>700</v>
      </c>
      <c r="K237" s="522"/>
      <c r="L237" s="522"/>
      <c r="M237" s="522"/>
      <c r="N237" s="522"/>
      <c r="O237" s="572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</row>
    <row r="238" spans="1:49" s="34" customFormat="1" ht="27" thickBot="1" x14ac:dyDescent="0.4">
      <c r="A238" s="777" t="s">
        <v>91</v>
      </c>
      <c r="B238" s="778"/>
      <c r="C238" s="778"/>
      <c r="D238" s="778"/>
      <c r="E238" s="779"/>
      <c r="F238" s="432"/>
      <c r="G238" s="433">
        <f>SUM(G237+G232+G231+G227+G209+G183+G168+G152+G122+G97+G86+G79+G72+G65+G58+G51+G44+G37+G30+G23+G16)</f>
        <v>19107000</v>
      </c>
      <c r="H238" s="443">
        <f>+H237+H232+H231+H227+H209+H183+H168+H152+H122+H97+H86+H79+H72+H65+H58+H51+H44+H37+H30+H23+H16</f>
        <v>32393.530448935308</v>
      </c>
      <c r="I238" s="433">
        <f>I16+I23+I30+I37+I44+I51+I58+I65+I72+I79+I86+I97+I122+I152+I168+I183+I209+I227+I231+I237</f>
        <v>323595</v>
      </c>
      <c r="J238" s="433">
        <f>J16+J23+J30+J37+J44+J51+J58+J65+J72+J79+J86+J97+J122+J152+J168+J183+J209+J227+J231+J237</f>
        <v>261075</v>
      </c>
      <c r="K238" s="542"/>
      <c r="L238" s="542"/>
      <c r="M238" s="542"/>
      <c r="N238" s="542"/>
      <c r="O238" s="542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</row>
    <row r="239" spans="1:49" s="34" customFormat="1" x14ac:dyDescent="0.25">
      <c r="A239" s="238"/>
      <c r="B239" s="238"/>
      <c r="C239" s="238"/>
      <c r="D239" s="237"/>
      <c r="E239" s="237"/>
      <c r="F239" s="237"/>
      <c r="G239" s="237"/>
      <c r="H239" s="237"/>
      <c r="I239" s="564"/>
      <c r="J239" s="564"/>
      <c r="K239" s="564"/>
      <c r="L239" s="564"/>
      <c r="M239" s="564"/>
      <c r="N239" s="564"/>
      <c r="O239" s="564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</row>
    <row r="240" spans="1:49" s="34" customFormat="1" x14ac:dyDescent="0.25">
      <c r="A240" s="238" t="s">
        <v>1535</v>
      </c>
      <c r="B240" s="238"/>
      <c r="C240" s="237"/>
      <c r="D240" s="237"/>
      <c r="E240" s="237"/>
      <c r="F240" s="237"/>
      <c r="G240" s="237"/>
      <c r="H240" s="237"/>
      <c r="I240" s="564"/>
      <c r="J240" s="564"/>
      <c r="K240" s="564"/>
      <c r="L240" s="564"/>
      <c r="M240" s="564"/>
      <c r="N240" s="564"/>
      <c r="O240" s="564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</row>
    <row r="241" spans="1:48" s="34" customFormat="1" x14ac:dyDescent="0.25">
      <c r="A241" s="238" t="s">
        <v>1538</v>
      </c>
      <c r="B241" s="238"/>
      <c r="C241" s="237"/>
      <c r="D241" s="237"/>
      <c r="E241" s="237"/>
      <c r="F241" s="237"/>
      <c r="G241" s="237"/>
      <c r="H241" s="237"/>
      <c r="I241" s="564"/>
      <c r="J241" s="564"/>
      <c r="K241" s="564"/>
      <c r="L241" s="564"/>
      <c r="M241" s="564"/>
      <c r="N241" s="564"/>
      <c r="O241" s="564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</row>
    <row r="242" spans="1:48" s="34" customFormat="1" x14ac:dyDescent="0.25">
      <c r="A242" s="238"/>
      <c r="B242" s="238"/>
      <c r="C242" s="237"/>
      <c r="D242" s="237"/>
      <c r="E242" s="237"/>
      <c r="F242" s="237"/>
      <c r="G242" s="237"/>
      <c r="H242" s="237"/>
      <c r="I242" s="564"/>
      <c r="J242" s="564"/>
      <c r="K242" s="564"/>
      <c r="L242" s="564"/>
      <c r="M242" s="564"/>
      <c r="N242" s="564"/>
      <c r="O242" s="564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</row>
    <row r="243" spans="1:48" s="34" customFormat="1" x14ac:dyDescent="0.25">
      <c r="A243" s="238" t="s">
        <v>1331</v>
      </c>
      <c r="B243" s="238"/>
      <c r="C243" s="237"/>
      <c r="D243" s="237"/>
      <c r="E243" s="237"/>
      <c r="F243" s="237"/>
      <c r="G243" s="237"/>
      <c r="H243" s="237"/>
      <c r="I243" s="564" t="s">
        <v>1536</v>
      </c>
      <c r="J243" s="564"/>
      <c r="K243" s="564"/>
      <c r="L243" s="564"/>
      <c r="M243" s="564" t="s">
        <v>1530</v>
      </c>
      <c r="N243" s="564"/>
      <c r="O243" s="542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</row>
    <row r="244" spans="1:48" s="34" customFormat="1" x14ac:dyDescent="0.25">
      <c r="A244" s="237"/>
      <c r="B244" s="239"/>
      <c r="C244" s="237"/>
      <c r="D244" s="237"/>
      <c r="E244" s="237"/>
      <c r="F244" s="237"/>
      <c r="G244" s="237"/>
      <c r="H244" s="237"/>
      <c r="I244" s="564"/>
      <c r="J244" s="564"/>
      <c r="K244" s="564"/>
      <c r="L244" s="564"/>
      <c r="M244" s="564"/>
      <c r="N244" s="564"/>
      <c r="O244" s="542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</row>
    <row r="245" spans="1:48" s="34" customFormat="1" x14ac:dyDescent="0.25">
      <c r="A245" s="240" t="s">
        <v>1537</v>
      </c>
      <c r="B245" s="241"/>
      <c r="C245" s="240"/>
      <c r="D245" s="240"/>
      <c r="E245" s="240"/>
      <c r="F245" s="240"/>
      <c r="G245" s="240"/>
      <c r="H245" s="237"/>
      <c r="I245" s="564"/>
      <c r="J245" s="564"/>
      <c r="K245" s="564"/>
      <c r="L245" s="564"/>
      <c r="M245" s="564"/>
      <c r="N245" s="564"/>
      <c r="O245" s="564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</row>
    <row r="246" spans="1:48" s="34" customFormat="1" x14ac:dyDescent="0.25">
      <c r="A246" s="240"/>
      <c r="B246" s="241"/>
      <c r="C246" s="240"/>
      <c r="D246" s="240"/>
      <c r="E246" s="240"/>
      <c r="F246" s="240"/>
      <c r="G246" s="237"/>
      <c r="H246" s="237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</row>
    <row r="247" spans="1:48" s="34" customFormat="1" x14ac:dyDescent="0.25">
      <c r="A247" s="240"/>
      <c r="B247" s="241"/>
      <c r="C247" s="240"/>
      <c r="D247" s="240"/>
      <c r="E247" s="240"/>
      <c r="F247" s="240"/>
      <c r="G247" s="240"/>
      <c r="H247" s="240"/>
      <c r="I247" s="236"/>
      <c r="J247" s="236"/>
      <c r="K247" s="236"/>
      <c r="L247" s="236"/>
      <c r="M247" s="236"/>
      <c r="N247" s="236"/>
      <c r="O247" s="236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</row>
    <row r="248" spans="1:48" s="34" customFormat="1" x14ac:dyDescent="0.25">
      <c r="A248" s="240"/>
      <c r="B248" s="241"/>
      <c r="C248" s="240"/>
      <c r="D248" s="240"/>
      <c r="E248" s="240"/>
      <c r="F248" s="240"/>
      <c r="G248" s="240"/>
      <c r="H248" s="240"/>
      <c r="I248" s="236"/>
      <c r="J248" s="236"/>
      <c r="K248" s="236"/>
      <c r="L248" s="236"/>
      <c r="M248" s="236"/>
      <c r="N248" s="236"/>
      <c r="O248" s="236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</row>
    <row r="249" spans="1:48" s="34" customFormat="1" x14ac:dyDescent="0.25">
      <c r="A249" s="240"/>
      <c r="B249" s="241"/>
      <c r="C249" s="240"/>
      <c r="D249" s="240"/>
      <c r="E249" s="240"/>
      <c r="F249" s="240"/>
      <c r="G249" s="240"/>
      <c r="H249" s="240"/>
      <c r="I249" s="236"/>
      <c r="J249" s="236"/>
      <c r="K249" s="236"/>
      <c r="L249" s="236"/>
      <c r="M249" s="236"/>
      <c r="N249" s="236"/>
      <c r="O249" s="236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</row>
    <row r="250" spans="1:48" s="34" customFormat="1" x14ac:dyDescent="0.25">
      <c r="A250" s="240"/>
      <c r="B250" s="241"/>
      <c r="C250" s="240"/>
      <c r="D250" s="240"/>
      <c r="E250" s="240"/>
      <c r="F250" s="240"/>
      <c r="G250" s="240"/>
      <c r="H250" s="240"/>
      <c r="I250" s="236"/>
      <c r="J250" s="236"/>
      <c r="K250" s="236"/>
      <c r="L250" s="236"/>
      <c r="M250" s="236"/>
      <c r="N250" s="236"/>
      <c r="O250" s="236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</row>
    <row r="251" spans="1:48" s="34" customFormat="1" x14ac:dyDescent="0.25">
      <c r="A251" s="240"/>
      <c r="B251" s="241"/>
      <c r="C251" s="240"/>
      <c r="D251" s="240"/>
      <c r="E251" s="240"/>
      <c r="F251" s="240"/>
      <c r="G251" s="240"/>
      <c r="H251" s="240"/>
      <c r="I251" s="236"/>
      <c r="J251" s="236"/>
      <c r="K251" s="236"/>
      <c r="L251" s="236"/>
      <c r="M251" s="236"/>
      <c r="N251" s="236"/>
      <c r="O251" s="236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</row>
    <row r="252" spans="1:48" s="34" customFormat="1" x14ac:dyDescent="0.25">
      <c r="A252" s="240"/>
      <c r="B252" s="241"/>
      <c r="C252" s="240"/>
      <c r="D252" s="240"/>
      <c r="E252" s="240"/>
      <c r="F252" s="240"/>
      <c r="G252" s="240"/>
      <c r="H252" s="240"/>
      <c r="I252" s="236"/>
      <c r="J252" s="236"/>
      <c r="K252" s="236"/>
      <c r="L252" s="236"/>
      <c r="M252" s="236"/>
      <c r="N252" s="236"/>
      <c r="O252" s="236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</row>
    <row r="253" spans="1:48" s="34" customFormat="1" x14ac:dyDescent="0.25">
      <c r="A253" s="240"/>
      <c r="B253" s="241"/>
      <c r="C253" s="240"/>
      <c r="D253" s="240"/>
      <c r="E253" s="240"/>
      <c r="F253" s="240"/>
      <c r="G253" s="240"/>
      <c r="H253" s="240"/>
      <c r="I253" s="236"/>
      <c r="J253" s="236"/>
      <c r="K253" s="236"/>
      <c r="L253" s="236"/>
      <c r="M253" s="236"/>
      <c r="N253" s="236"/>
      <c r="O253" s="236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</row>
    <row r="254" spans="1:48" s="34" customFormat="1" x14ac:dyDescent="0.25">
      <c r="A254" s="240"/>
      <c r="B254" s="241"/>
      <c r="C254" s="240"/>
      <c r="D254" s="240"/>
      <c r="E254" s="240"/>
      <c r="F254" s="240"/>
      <c r="G254" s="240"/>
      <c r="H254" s="240"/>
      <c r="I254" s="236"/>
      <c r="J254" s="236"/>
      <c r="K254" s="236"/>
      <c r="L254" s="236"/>
      <c r="M254" s="236"/>
      <c r="N254" s="236"/>
      <c r="O254" s="236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</row>
    <row r="255" spans="1:48" s="34" customFormat="1" x14ac:dyDescent="0.25">
      <c r="A255" s="240"/>
      <c r="B255" s="241"/>
      <c r="C255" s="240"/>
      <c r="D255" s="240"/>
      <c r="E255" s="240"/>
      <c r="F255" s="240"/>
      <c r="G255" s="240"/>
      <c r="H255" s="240"/>
      <c r="I255" s="236"/>
      <c r="J255" s="236"/>
      <c r="K255" s="236"/>
      <c r="L255" s="236"/>
      <c r="M255" s="236"/>
      <c r="N255" s="236"/>
      <c r="O255" s="236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</row>
    <row r="256" spans="1:48" s="34" customFormat="1" x14ac:dyDescent="0.25">
      <c r="A256" s="240"/>
      <c r="B256" s="241"/>
      <c r="C256" s="240"/>
      <c r="D256" s="240"/>
      <c r="E256" s="240"/>
      <c r="F256" s="240"/>
      <c r="G256" s="240"/>
      <c r="H256" s="240"/>
      <c r="I256" s="236"/>
      <c r="J256" s="236"/>
      <c r="K256" s="236"/>
      <c r="L256" s="236"/>
      <c r="M256" s="236"/>
      <c r="N256" s="236"/>
      <c r="O256" s="23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</row>
    <row r="257" spans="1:48" s="34" customFormat="1" x14ac:dyDescent="0.25">
      <c r="A257" s="240"/>
      <c r="B257" s="241"/>
      <c r="C257" s="240"/>
      <c r="D257" s="240"/>
      <c r="E257" s="240"/>
      <c r="F257" s="240"/>
      <c r="G257" s="240"/>
      <c r="H257" s="240"/>
      <c r="I257" s="236"/>
      <c r="J257" s="236"/>
      <c r="K257" s="236"/>
      <c r="L257" s="236"/>
      <c r="M257" s="236"/>
      <c r="N257" s="236"/>
      <c r="O257" s="236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</row>
    <row r="258" spans="1:48" s="34" customFormat="1" x14ac:dyDescent="0.25">
      <c r="A258" s="240"/>
      <c r="B258" s="241"/>
      <c r="C258" s="240"/>
      <c r="D258" s="240"/>
      <c r="E258" s="240"/>
      <c r="F258" s="240"/>
      <c r="G258" s="240"/>
      <c r="H258" s="240"/>
      <c r="I258" s="236"/>
      <c r="J258" s="236"/>
      <c r="K258" s="236"/>
      <c r="L258" s="236"/>
      <c r="M258" s="236"/>
      <c r="N258" s="236"/>
      <c r="O258" s="236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</row>
    <row r="259" spans="1:48" s="34" customFormat="1" x14ac:dyDescent="0.25">
      <c r="A259" s="240"/>
      <c r="B259" s="241"/>
      <c r="C259" s="240"/>
      <c r="D259" s="240"/>
      <c r="E259" s="240"/>
      <c r="F259" s="240"/>
      <c r="G259" s="240"/>
      <c r="H259" s="240"/>
      <c r="I259" s="236"/>
      <c r="J259" s="236"/>
      <c r="K259" s="236"/>
      <c r="L259" s="236"/>
      <c r="M259" s="236"/>
      <c r="N259" s="236"/>
      <c r="O259" s="236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</row>
    <row r="260" spans="1:48" s="34" customFormat="1" x14ac:dyDescent="0.25">
      <c r="A260" s="240"/>
      <c r="B260" s="241"/>
      <c r="C260" s="240"/>
      <c r="D260" s="240"/>
      <c r="E260" s="240"/>
      <c r="F260" s="240"/>
      <c r="G260" s="240"/>
      <c r="H260" s="240"/>
      <c r="I260" s="236"/>
      <c r="J260" s="236"/>
      <c r="K260" s="236"/>
      <c r="L260" s="236"/>
      <c r="M260" s="236"/>
      <c r="N260" s="236"/>
      <c r="O260" s="236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</row>
    <row r="261" spans="1:48" x14ac:dyDescent="0.25">
      <c r="A261" s="240"/>
      <c r="B261" s="241"/>
      <c r="C261" s="240"/>
      <c r="D261" s="240"/>
      <c r="E261" s="240"/>
      <c r="F261" s="240"/>
      <c r="G261" s="240"/>
      <c r="H261" s="240"/>
      <c r="I261" s="236"/>
      <c r="J261" s="236"/>
      <c r="K261" s="236"/>
      <c r="L261" s="236"/>
      <c r="M261" s="236"/>
      <c r="N261" s="236"/>
      <c r="O261" s="236"/>
    </row>
    <row r="262" spans="1:48" x14ac:dyDescent="0.25">
      <c r="A262" s="240"/>
      <c r="B262" s="241"/>
      <c r="C262" s="240"/>
      <c r="D262" s="240"/>
      <c r="E262" s="240"/>
      <c r="F262" s="240"/>
      <c r="G262" s="240"/>
      <c r="H262" s="240"/>
      <c r="I262" s="236"/>
      <c r="J262" s="236"/>
      <c r="K262" s="236"/>
      <c r="L262" s="236"/>
      <c r="M262" s="236"/>
      <c r="N262" s="236"/>
      <c r="O262" s="236"/>
    </row>
    <row r="263" spans="1:48" x14ac:dyDescent="0.25">
      <c r="A263" s="240"/>
      <c r="B263" s="241"/>
      <c r="C263" s="240"/>
      <c r="D263" s="240"/>
      <c r="E263" s="240"/>
      <c r="F263" s="240"/>
      <c r="G263" s="240"/>
      <c r="H263" s="240"/>
      <c r="I263" s="236"/>
      <c r="J263" s="236"/>
      <c r="K263" s="236"/>
      <c r="L263" s="236"/>
      <c r="M263" s="236"/>
      <c r="N263" s="236"/>
      <c r="O263" s="236"/>
    </row>
    <row r="264" spans="1:48" x14ac:dyDescent="0.25">
      <c r="A264" s="240"/>
      <c r="B264" s="241"/>
      <c r="C264" s="240"/>
      <c r="D264" s="240"/>
      <c r="E264" s="240"/>
      <c r="F264" s="240"/>
      <c r="G264" s="240"/>
      <c r="H264" s="240"/>
      <c r="I264" s="236"/>
      <c r="J264" s="236"/>
      <c r="K264" s="236"/>
      <c r="L264" s="236"/>
      <c r="M264" s="236"/>
      <c r="N264" s="236"/>
      <c r="O264" s="236"/>
    </row>
    <row r="265" spans="1:48" x14ac:dyDescent="0.25">
      <c r="A265" s="240"/>
      <c r="B265" s="241"/>
      <c r="C265" s="240"/>
      <c r="D265" s="240"/>
      <c r="E265" s="240"/>
      <c r="F265" s="240"/>
      <c r="G265" s="240"/>
      <c r="H265" s="240"/>
      <c r="I265" s="236"/>
      <c r="J265" s="236"/>
      <c r="K265" s="236"/>
      <c r="L265" s="236"/>
      <c r="M265" s="236"/>
      <c r="N265" s="236"/>
      <c r="O265" s="236"/>
    </row>
    <row r="266" spans="1:48" x14ac:dyDescent="0.25">
      <c r="A266" s="238"/>
      <c r="B266" s="238"/>
      <c r="C266" s="238"/>
      <c r="D266" s="237"/>
      <c r="E266" s="237"/>
      <c r="F266" s="237"/>
      <c r="G266" s="237"/>
      <c r="H266" s="237"/>
      <c r="I266" s="236"/>
      <c r="J266" s="236"/>
      <c r="K266" s="236"/>
      <c r="L266" s="236"/>
      <c r="M266" s="236"/>
      <c r="N266" s="236"/>
      <c r="O266" s="236"/>
    </row>
    <row r="267" spans="1:48" x14ac:dyDescent="0.25">
      <c r="A267" s="238"/>
      <c r="B267" s="238"/>
      <c r="C267" s="237"/>
      <c r="D267" s="237"/>
      <c r="E267" s="237"/>
      <c r="F267" s="237"/>
      <c r="G267" s="237"/>
      <c r="H267" s="237"/>
      <c r="I267" s="236"/>
      <c r="J267" s="236"/>
      <c r="K267" s="236"/>
      <c r="L267" s="236"/>
      <c r="M267" s="236"/>
      <c r="N267" s="236"/>
      <c r="O267" s="236"/>
    </row>
    <row r="268" spans="1:48" x14ac:dyDescent="0.25">
      <c r="A268" s="238"/>
      <c r="B268" s="238"/>
      <c r="C268" s="237"/>
      <c r="D268" s="237"/>
      <c r="E268" s="237"/>
      <c r="F268" s="237"/>
      <c r="G268" s="237"/>
      <c r="H268" s="237"/>
      <c r="I268" s="236"/>
      <c r="J268" s="236"/>
      <c r="K268" s="236"/>
      <c r="L268" s="236"/>
      <c r="M268" s="236"/>
      <c r="N268" s="236"/>
      <c r="O268" s="236"/>
    </row>
    <row r="269" spans="1:48" x14ac:dyDescent="0.25">
      <c r="A269" s="238"/>
      <c r="B269" s="238"/>
      <c r="C269" s="237"/>
      <c r="D269" s="237"/>
      <c r="E269" s="237"/>
      <c r="F269" s="237"/>
      <c r="G269" s="237"/>
      <c r="H269" s="237"/>
      <c r="I269" s="236"/>
      <c r="J269" s="236"/>
      <c r="K269" s="236"/>
      <c r="L269" s="236"/>
      <c r="M269" s="236"/>
      <c r="N269" s="236"/>
      <c r="O269" s="236"/>
    </row>
    <row r="270" spans="1:48" x14ac:dyDescent="0.25">
      <c r="A270" s="238"/>
      <c r="B270" s="238"/>
      <c r="C270" s="237"/>
      <c r="D270" s="237"/>
      <c r="E270" s="237"/>
      <c r="F270" s="237"/>
      <c r="G270" s="237"/>
      <c r="H270" s="237"/>
      <c r="I270" s="236"/>
      <c r="J270" s="236"/>
      <c r="K270" s="236"/>
      <c r="L270" s="236"/>
      <c r="M270" s="236"/>
      <c r="N270" s="236"/>
      <c r="O270" s="236"/>
    </row>
    <row r="271" spans="1:48" x14ac:dyDescent="0.25">
      <c r="A271" s="237"/>
      <c r="B271" s="239"/>
      <c r="C271" s="237"/>
      <c r="D271" s="237"/>
      <c r="E271" s="237"/>
      <c r="F271" s="237"/>
      <c r="G271" s="237"/>
      <c r="H271" s="237"/>
      <c r="I271" s="236"/>
      <c r="J271" s="236"/>
      <c r="K271" s="236"/>
      <c r="L271" s="236"/>
      <c r="M271" s="236"/>
      <c r="N271" s="236"/>
      <c r="O271" s="236"/>
    </row>
    <row r="272" spans="1:48" x14ac:dyDescent="0.25">
      <c r="A272" s="240"/>
      <c r="B272" s="241"/>
      <c r="C272" s="240"/>
      <c r="D272" s="240"/>
      <c r="E272" s="240"/>
      <c r="F272" s="240"/>
      <c r="G272" s="240"/>
      <c r="H272" s="240"/>
      <c r="I272" s="236"/>
      <c r="J272" s="236"/>
      <c r="K272" s="236"/>
      <c r="L272" s="236"/>
      <c r="M272" s="236"/>
      <c r="N272" s="236"/>
      <c r="O272" s="236"/>
    </row>
    <row r="273" spans="1:15" x14ac:dyDescent="0.25">
      <c r="A273" s="240"/>
      <c r="B273" s="241"/>
      <c r="C273" s="240"/>
      <c r="D273" s="240"/>
      <c r="E273" s="240"/>
      <c r="F273" s="240"/>
      <c r="G273" s="240"/>
      <c r="H273" s="240"/>
      <c r="I273" s="236"/>
      <c r="J273" s="236"/>
      <c r="K273" s="236"/>
      <c r="L273" s="236"/>
      <c r="M273" s="236"/>
      <c r="N273" s="236"/>
      <c r="O273" s="236"/>
    </row>
    <row r="274" spans="1:15" x14ac:dyDescent="0.25">
      <c r="A274" s="240"/>
      <c r="B274" s="241"/>
      <c r="C274" s="240"/>
      <c r="D274" s="240"/>
      <c r="E274" s="240"/>
      <c r="F274" s="240"/>
      <c r="G274" s="240"/>
      <c r="H274" s="240"/>
      <c r="I274" s="236"/>
      <c r="J274" s="236"/>
      <c r="K274" s="236"/>
      <c r="L274" s="236"/>
      <c r="M274" s="236"/>
      <c r="N274" s="236"/>
      <c r="O274" s="236"/>
    </row>
    <row r="275" spans="1:15" x14ac:dyDescent="0.25">
      <c r="A275" s="240"/>
      <c r="B275" s="241"/>
      <c r="C275" s="240"/>
      <c r="D275" s="240"/>
      <c r="E275" s="240"/>
      <c r="F275" s="240"/>
      <c r="G275" s="240"/>
      <c r="H275" s="240"/>
      <c r="I275" s="236"/>
      <c r="J275" s="236"/>
      <c r="K275" s="236"/>
      <c r="L275" s="236"/>
      <c r="M275" s="236"/>
      <c r="N275" s="236"/>
      <c r="O275" s="236"/>
    </row>
    <row r="276" spans="1:15" x14ac:dyDescent="0.25">
      <c r="A276" s="240"/>
      <c r="B276" s="241"/>
      <c r="C276" s="240"/>
      <c r="D276" s="240"/>
      <c r="E276" s="240"/>
      <c r="F276" s="240"/>
      <c r="G276" s="240"/>
      <c r="H276" s="240"/>
      <c r="I276" s="236"/>
      <c r="J276" s="236"/>
      <c r="K276" s="236"/>
      <c r="L276" s="236"/>
      <c r="M276" s="236"/>
      <c r="N276" s="236"/>
      <c r="O276" s="236"/>
    </row>
    <row r="277" spans="1:15" x14ac:dyDescent="0.25">
      <c r="A277" s="240"/>
      <c r="B277" s="241"/>
      <c r="C277" s="240"/>
      <c r="D277" s="240"/>
      <c r="E277" s="240"/>
      <c r="F277" s="240"/>
      <c r="G277" s="240"/>
      <c r="H277" s="240"/>
      <c r="I277" s="236"/>
      <c r="J277" s="236"/>
      <c r="K277" s="236"/>
      <c r="L277" s="236"/>
      <c r="M277" s="236"/>
      <c r="N277" s="236"/>
      <c r="O277" s="236"/>
    </row>
    <row r="278" spans="1:15" x14ac:dyDescent="0.25">
      <c r="A278" s="240"/>
      <c r="B278" s="241"/>
      <c r="C278" s="240"/>
      <c r="D278" s="240"/>
      <c r="E278" s="240"/>
      <c r="F278" s="240"/>
      <c r="G278" s="240"/>
      <c r="H278" s="240"/>
      <c r="I278" s="236"/>
      <c r="J278" s="236"/>
      <c r="K278" s="236"/>
      <c r="L278" s="236"/>
      <c r="M278" s="236"/>
      <c r="N278" s="236"/>
      <c r="O278" s="236"/>
    </row>
    <row r="279" spans="1:15" x14ac:dyDescent="0.25">
      <c r="A279" s="240"/>
      <c r="B279" s="241"/>
      <c r="C279" s="240"/>
      <c r="D279" s="240"/>
      <c r="E279" s="240"/>
      <c r="F279" s="240"/>
      <c r="G279" s="240"/>
      <c r="H279" s="240"/>
      <c r="I279" s="236"/>
      <c r="J279" s="236"/>
      <c r="K279" s="236"/>
      <c r="L279" s="236"/>
      <c r="M279" s="236"/>
      <c r="N279" s="236"/>
      <c r="O279" s="236"/>
    </row>
    <row r="280" spans="1:15" x14ac:dyDescent="0.25">
      <c r="A280" s="240"/>
      <c r="B280" s="241"/>
      <c r="C280" s="240"/>
      <c r="D280" s="240"/>
      <c r="E280" s="240"/>
      <c r="F280" s="240"/>
      <c r="G280" s="240"/>
      <c r="H280" s="240"/>
      <c r="I280" s="236"/>
      <c r="J280" s="236"/>
      <c r="K280" s="236"/>
      <c r="L280" s="236"/>
      <c r="M280" s="236"/>
      <c r="N280" s="236"/>
      <c r="O280" s="236"/>
    </row>
    <row r="281" spans="1:15" x14ac:dyDescent="0.25">
      <c r="A281" s="240"/>
      <c r="B281" s="241"/>
      <c r="C281" s="240"/>
      <c r="D281" s="240"/>
      <c r="E281" s="240"/>
      <c r="F281" s="240"/>
      <c r="G281" s="240"/>
      <c r="H281" s="240"/>
      <c r="I281" s="236"/>
      <c r="J281" s="236"/>
      <c r="K281" s="236"/>
      <c r="L281" s="236"/>
      <c r="M281" s="236"/>
      <c r="N281" s="236"/>
      <c r="O281" s="236"/>
    </row>
    <row r="282" spans="1:15" x14ac:dyDescent="0.25">
      <c r="A282" s="240"/>
      <c r="B282" s="241"/>
      <c r="C282" s="240"/>
      <c r="D282" s="240"/>
      <c r="E282" s="240"/>
      <c r="F282" s="240"/>
      <c r="G282" s="240"/>
      <c r="H282" s="240"/>
      <c r="I282" s="236"/>
      <c r="J282" s="236"/>
      <c r="K282" s="236"/>
      <c r="L282" s="236"/>
      <c r="M282" s="236"/>
      <c r="N282" s="236"/>
      <c r="O282" s="236"/>
    </row>
    <row r="283" spans="1:15" x14ac:dyDescent="0.25">
      <c r="A283" s="240"/>
      <c r="B283" s="241"/>
      <c r="C283" s="240"/>
      <c r="D283" s="240"/>
      <c r="E283" s="240"/>
      <c r="F283" s="240"/>
      <c r="G283" s="240"/>
      <c r="H283" s="240"/>
      <c r="I283" s="236"/>
      <c r="J283" s="236"/>
      <c r="K283" s="236"/>
      <c r="L283" s="236"/>
      <c r="M283" s="236"/>
      <c r="N283" s="236"/>
      <c r="O283" s="236"/>
    </row>
    <row r="284" spans="1:15" x14ac:dyDescent="0.25">
      <c r="A284" s="240"/>
      <c r="B284" s="241"/>
      <c r="C284" s="240"/>
      <c r="D284" s="240"/>
      <c r="E284" s="240"/>
      <c r="F284" s="240"/>
      <c r="G284" s="240"/>
      <c r="H284" s="240"/>
      <c r="I284" s="236"/>
      <c r="J284" s="236"/>
      <c r="K284" s="236"/>
      <c r="L284" s="236"/>
      <c r="M284" s="236"/>
      <c r="N284" s="236"/>
      <c r="O284" s="236"/>
    </row>
    <row r="285" spans="1:15" x14ac:dyDescent="0.25">
      <c r="A285" s="240"/>
      <c r="B285" s="241"/>
      <c r="C285" s="240"/>
      <c r="D285" s="240"/>
      <c r="E285" s="240"/>
      <c r="F285" s="240"/>
      <c r="G285" s="240"/>
      <c r="H285" s="240"/>
      <c r="I285" s="236"/>
      <c r="J285" s="236"/>
      <c r="K285" s="236"/>
      <c r="L285" s="236"/>
      <c r="M285" s="236"/>
      <c r="N285" s="236"/>
      <c r="O285" s="236"/>
    </row>
    <row r="286" spans="1:15" x14ac:dyDescent="0.25">
      <c r="A286" s="240"/>
      <c r="B286" s="241"/>
      <c r="C286" s="240"/>
      <c r="D286" s="240"/>
      <c r="E286" s="240"/>
      <c r="F286" s="240"/>
      <c r="G286" s="240"/>
      <c r="H286" s="240"/>
      <c r="I286" s="236"/>
      <c r="J286" s="236"/>
      <c r="K286" s="236"/>
      <c r="L286" s="236"/>
      <c r="M286" s="236"/>
      <c r="N286" s="236"/>
      <c r="O286" s="236"/>
    </row>
    <row r="287" spans="1:15" x14ac:dyDescent="0.25">
      <c r="A287" s="240"/>
      <c r="B287" s="241"/>
      <c r="C287" s="240"/>
      <c r="D287" s="240"/>
      <c r="E287" s="240"/>
      <c r="F287" s="240"/>
      <c r="G287" s="240"/>
      <c r="H287" s="240"/>
      <c r="I287" s="236"/>
      <c r="J287" s="236"/>
      <c r="K287" s="236"/>
      <c r="L287" s="236"/>
      <c r="M287" s="236"/>
      <c r="N287" s="236"/>
      <c r="O287" s="236"/>
    </row>
    <row r="288" spans="1:15" x14ac:dyDescent="0.25">
      <c r="A288" s="240"/>
      <c r="B288" s="241"/>
      <c r="C288" s="240"/>
      <c r="D288" s="240"/>
      <c r="E288" s="240"/>
      <c r="F288" s="240"/>
      <c r="G288" s="240"/>
      <c r="H288" s="240"/>
      <c r="I288" s="236"/>
      <c r="J288" s="236"/>
      <c r="K288" s="236"/>
      <c r="L288" s="236"/>
      <c r="M288" s="236"/>
      <c r="N288" s="236"/>
      <c r="O288" s="236"/>
    </row>
    <row r="289" spans="1:15" x14ac:dyDescent="0.25">
      <c r="A289" s="240"/>
      <c r="B289" s="241"/>
      <c r="C289" s="240"/>
      <c r="D289" s="240"/>
      <c r="E289" s="240"/>
      <c r="F289" s="240"/>
      <c r="G289" s="240"/>
      <c r="H289" s="240"/>
      <c r="I289" s="236"/>
      <c r="J289" s="236"/>
      <c r="K289" s="236"/>
      <c r="L289" s="236"/>
      <c r="M289" s="236"/>
      <c r="N289" s="236"/>
      <c r="O289" s="236"/>
    </row>
    <row r="290" spans="1:15" x14ac:dyDescent="0.25">
      <c r="A290" s="240"/>
      <c r="B290" s="241"/>
      <c r="C290" s="240"/>
      <c r="D290" s="240"/>
      <c r="E290" s="240"/>
      <c r="F290" s="240"/>
      <c r="G290" s="240"/>
      <c r="H290" s="240"/>
      <c r="I290" s="236"/>
      <c r="J290" s="236"/>
      <c r="K290" s="236"/>
      <c r="L290" s="236"/>
      <c r="M290" s="236"/>
      <c r="N290" s="236"/>
      <c r="O290" s="236"/>
    </row>
    <row r="291" spans="1:15" x14ac:dyDescent="0.25">
      <c r="A291" s="240"/>
      <c r="B291" s="241"/>
      <c r="C291" s="240"/>
      <c r="D291" s="240"/>
      <c r="E291" s="240"/>
      <c r="F291" s="240"/>
      <c r="G291" s="240"/>
      <c r="H291" s="240"/>
      <c r="I291" s="236"/>
      <c r="J291" s="236"/>
      <c r="K291" s="236"/>
      <c r="L291" s="236"/>
      <c r="M291" s="236"/>
      <c r="N291" s="236"/>
      <c r="O291" s="236"/>
    </row>
    <row r="292" spans="1:15" x14ac:dyDescent="0.25">
      <c r="A292" s="240"/>
      <c r="B292" s="241"/>
      <c r="C292" s="240"/>
      <c r="D292" s="240"/>
      <c r="E292" s="240"/>
      <c r="F292" s="240"/>
      <c r="G292" s="240"/>
      <c r="H292" s="240"/>
      <c r="I292" s="236"/>
      <c r="J292" s="236"/>
      <c r="K292" s="236"/>
      <c r="L292" s="236"/>
      <c r="M292" s="236"/>
      <c r="N292" s="236"/>
      <c r="O292" s="236"/>
    </row>
    <row r="293" spans="1:15" x14ac:dyDescent="0.25">
      <c r="A293" s="240"/>
      <c r="B293" s="241"/>
      <c r="C293" s="240"/>
      <c r="D293" s="240"/>
      <c r="E293" s="240"/>
      <c r="F293" s="240"/>
      <c r="G293" s="240"/>
      <c r="H293" s="240"/>
      <c r="I293" s="236"/>
      <c r="J293" s="236"/>
      <c r="K293" s="236"/>
      <c r="L293" s="236"/>
      <c r="M293" s="236"/>
      <c r="N293" s="236"/>
      <c r="O293" s="236"/>
    </row>
    <row r="294" spans="1:15" x14ac:dyDescent="0.25">
      <c r="A294" s="22"/>
      <c r="B294" s="26"/>
      <c r="C294" s="23"/>
      <c r="D294" s="33"/>
      <c r="E294" s="23"/>
      <c r="F294" s="25"/>
      <c r="G294" s="25"/>
      <c r="H294" s="25"/>
      <c r="I294" s="11"/>
      <c r="J294" s="12"/>
      <c r="K294" s="12"/>
      <c r="L294" s="12"/>
      <c r="M294" s="12"/>
      <c r="N294" s="12"/>
      <c r="O294" s="524"/>
    </row>
    <row r="295" spans="1:15" x14ac:dyDescent="0.25">
      <c r="A295" s="22"/>
      <c r="B295" s="26"/>
      <c r="C295" s="23"/>
      <c r="D295" s="33"/>
      <c r="E295" s="23"/>
      <c r="F295" s="25"/>
      <c r="G295" s="25"/>
      <c r="H295" s="25"/>
      <c r="I295" s="11"/>
      <c r="J295" s="12"/>
      <c r="K295" s="12"/>
      <c r="L295" s="12"/>
      <c r="M295" s="12"/>
      <c r="N295" s="12"/>
      <c r="O295" s="524"/>
    </row>
    <row r="296" spans="1:15" x14ac:dyDescent="0.25">
      <c r="A296" s="22"/>
      <c r="B296" s="26"/>
      <c r="C296" s="23"/>
      <c r="D296" s="24"/>
      <c r="E296" s="23"/>
      <c r="F296" s="25"/>
      <c r="G296" s="25"/>
      <c r="H296" s="25"/>
      <c r="I296" s="11"/>
      <c r="J296" s="12"/>
      <c r="K296" s="12"/>
      <c r="L296" s="12"/>
      <c r="M296" s="12"/>
      <c r="N296" s="12"/>
      <c r="O296" s="524"/>
    </row>
    <row r="297" spans="1:15" x14ac:dyDescent="0.25">
      <c r="A297" s="30"/>
      <c r="B297" s="30"/>
      <c r="C297" s="31"/>
      <c r="D297" s="31"/>
      <c r="E297" s="31"/>
      <c r="F297" s="32"/>
      <c r="G297" s="32"/>
      <c r="H297" s="32"/>
      <c r="I297" s="11"/>
      <c r="J297" s="12"/>
      <c r="K297" s="12"/>
      <c r="L297" s="12"/>
      <c r="M297" s="12"/>
      <c r="N297" s="12"/>
      <c r="O297" s="524"/>
    </row>
    <row r="298" spans="1:15" x14ac:dyDescent="0.25">
      <c r="A298" s="22"/>
      <c r="B298" s="26"/>
      <c r="C298" s="23"/>
      <c r="D298" s="24"/>
      <c r="E298" s="23"/>
      <c r="F298" s="25"/>
      <c r="G298" s="25"/>
      <c r="H298" s="25"/>
      <c r="I298" s="11"/>
      <c r="J298" s="12"/>
      <c r="K298" s="12"/>
      <c r="L298" s="12"/>
      <c r="M298" s="12"/>
      <c r="N298" s="12"/>
      <c r="O298" s="524"/>
    </row>
    <row r="299" spans="1:15" x14ac:dyDescent="0.25">
      <c r="A299" s="22"/>
      <c r="B299" s="26"/>
      <c r="C299" s="23"/>
      <c r="D299" s="24"/>
      <c r="E299" s="23"/>
      <c r="F299" s="25"/>
      <c r="G299" s="25"/>
      <c r="H299" s="25"/>
      <c r="I299" s="11"/>
      <c r="J299" s="12"/>
      <c r="K299" s="12"/>
      <c r="L299" s="12"/>
      <c r="M299" s="12"/>
      <c r="N299" s="12"/>
      <c r="O299" s="524"/>
    </row>
    <row r="300" spans="1:15" x14ac:dyDescent="0.25">
      <c r="A300" s="22"/>
      <c r="B300" s="26"/>
      <c r="C300" s="23"/>
      <c r="D300" s="24"/>
      <c r="E300" s="23"/>
      <c r="F300" s="25"/>
      <c r="G300" s="25"/>
      <c r="H300" s="25"/>
      <c r="I300" s="11"/>
      <c r="J300" s="12"/>
      <c r="K300" s="12"/>
      <c r="L300" s="12"/>
      <c r="M300" s="12"/>
      <c r="N300" s="12"/>
      <c r="O300" s="524"/>
    </row>
    <row r="301" spans="1:15" x14ac:dyDescent="0.25">
      <c r="A301" s="30"/>
      <c r="B301" s="30"/>
      <c r="C301" s="31"/>
      <c r="D301" s="31"/>
      <c r="E301" s="31"/>
      <c r="F301" s="32"/>
      <c r="G301" s="32"/>
      <c r="H301" s="32"/>
      <c r="I301" s="11"/>
      <c r="J301" s="12"/>
      <c r="K301" s="12"/>
      <c r="L301" s="12"/>
      <c r="M301" s="12"/>
      <c r="N301" s="12"/>
      <c r="O301" s="524"/>
    </row>
    <row r="302" spans="1:15" x14ac:dyDescent="0.25">
      <c r="A302" s="22"/>
      <c r="B302" s="26"/>
      <c r="C302" s="23"/>
      <c r="D302" s="33"/>
      <c r="E302" s="23"/>
      <c r="F302" s="25"/>
      <c r="G302" s="25"/>
      <c r="H302" s="25"/>
      <c r="I302" s="11"/>
      <c r="J302" s="12"/>
      <c r="K302" s="12"/>
      <c r="L302" s="12"/>
      <c r="M302" s="12"/>
      <c r="N302" s="12"/>
      <c r="O302" s="524"/>
    </row>
    <row r="303" spans="1:15" x14ac:dyDescent="0.25">
      <c r="A303" s="22"/>
      <c r="B303" s="26"/>
      <c r="C303" s="23"/>
      <c r="D303" s="33"/>
      <c r="E303" s="23"/>
      <c r="F303" s="25"/>
      <c r="G303" s="25"/>
      <c r="H303" s="25"/>
      <c r="I303" s="11"/>
      <c r="J303" s="12"/>
      <c r="K303" s="12"/>
      <c r="L303" s="12"/>
      <c r="M303" s="12"/>
      <c r="N303" s="12"/>
      <c r="O303" s="524"/>
    </row>
    <row r="304" spans="1:15" x14ac:dyDescent="0.25">
      <c r="A304" s="22"/>
      <c r="B304" s="26"/>
      <c r="C304" s="23"/>
      <c r="D304" s="24"/>
      <c r="E304" s="23"/>
      <c r="F304" s="25"/>
      <c r="G304" s="25"/>
      <c r="H304" s="25"/>
      <c r="I304" s="11"/>
      <c r="J304" s="12"/>
      <c r="K304" s="12"/>
      <c r="L304" s="12"/>
      <c r="M304" s="12"/>
      <c r="N304" s="12"/>
      <c r="O304" s="524"/>
    </row>
    <row r="305" spans="1:15" x14ac:dyDescent="0.25">
      <c r="A305" s="30"/>
      <c r="B305" s="30"/>
      <c r="C305" s="31"/>
      <c r="D305" s="31"/>
      <c r="E305" s="31"/>
      <c r="F305" s="32"/>
      <c r="G305" s="32"/>
      <c r="H305" s="32"/>
      <c r="I305" s="11"/>
      <c r="J305" s="12"/>
      <c r="K305" s="12"/>
      <c r="L305" s="12"/>
      <c r="M305" s="12"/>
      <c r="N305" s="12"/>
      <c r="O305" s="524"/>
    </row>
    <row r="306" spans="1:15" x14ac:dyDescent="0.25">
      <c r="A306" s="22"/>
      <c r="B306" s="26"/>
      <c r="C306" s="23"/>
      <c r="D306" s="24"/>
      <c r="E306" s="23"/>
      <c r="F306" s="25"/>
      <c r="G306" s="25"/>
      <c r="H306" s="25"/>
      <c r="I306" s="11"/>
      <c r="J306" s="12"/>
      <c r="K306" s="12"/>
      <c r="L306" s="12"/>
      <c r="M306" s="12"/>
      <c r="N306" s="12"/>
      <c r="O306" s="524"/>
    </row>
    <row r="307" spans="1:15" x14ac:dyDescent="0.25">
      <c r="A307" s="22"/>
      <c r="B307" s="26"/>
      <c r="C307" s="23"/>
      <c r="D307" s="24"/>
      <c r="E307" s="23"/>
      <c r="F307" s="25"/>
      <c r="G307" s="25"/>
      <c r="H307" s="25"/>
      <c r="I307" s="11"/>
      <c r="J307" s="12"/>
      <c r="K307" s="12"/>
      <c r="L307" s="12"/>
      <c r="M307" s="12"/>
      <c r="N307" s="12"/>
      <c r="O307" s="524"/>
    </row>
    <row r="308" spans="1:15" x14ac:dyDescent="0.25">
      <c r="A308" s="22"/>
      <c r="B308" s="26"/>
      <c r="C308" s="23"/>
      <c r="D308" s="24"/>
      <c r="E308" s="23"/>
      <c r="F308" s="25"/>
      <c r="G308" s="25"/>
      <c r="H308" s="25"/>
      <c r="I308" s="11"/>
      <c r="J308" s="12"/>
      <c r="K308" s="12"/>
      <c r="L308" s="12"/>
      <c r="M308" s="12"/>
      <c r="N308" s="12"/>
      <c r="O308" s="524"/>
    </row>
    <row r="309" spans="1:15" x14ac:dyDescent="0.25">
      <c r="A309" s="30"/>
      <c r="B309" s="30"/>
      <c r="C309" s="31"/>
      <c r="D309" s="31"/>
      <c r="E309" s="31"/>
      <c r="F309" s="32"/>
      <c r="G309" s="32"/>
      <c r="H309" s="32"/>
      <c r="I309" s="11"/>
      <c r="J309" s="12"/>
      <c r="K309" s="12"/>
      <c r="L309" s="12"/>
      <c r="M309" s="12"/>
      <c r="N309" s="12"/>
      <c r="O309" s="524"/>
    </row>
    <row r="310" spans="1:15" x14ac:dyDescent="0.25">
      <c r="A310" s="22"/>
      <c r="B310" s="26"/>
      <c r="C310" s="23"/>
      <c r="D310" s="24"/>
      <c r="E310" s="23"/>
      <c r="F310" s="25"/>
      <c r="G310" s="25"/>
      <c r="H310" s="25"/>
      <c r="I310" s="11"/>
      <c r="J310" s="12"/>
      <c r="K310" s="12"/>
      <c r="L310" s="12"/>
      <c r="M310" s="12"/>
      <c r="N310" s="12"/>
      <c r="O310" s="524"/>
    </row>
    <row r="311" spans="1:15" x14ac:dyDescent="0.25">
      <c r="A311" s="22"/>
      <c r="B311" s="26"/>
      <c r="C311" s="23"/>
      <c r="D311" s="24"/>
      <c r="E311" s="23"/>
      <c r="F311" s="25"/>
      <c r="G311" s="25"/>
      <c r="H311" s="25"/>
      <c r="I311" s="11"/>
      <c r="J311" s="12"/>
      <c r="K311" s="12"/>
      <c r="L311" s="12"/>
      <c r="M311" s="12"/>
      <c r="N311" s="12"/>
      <c r="O311" s="524"/>
    </row>
    <row r="312" spans="1:15" x14ac:dyDescent="0.25">
      <c r="A312" s="22"/>
      <c r="B312" s="26"/>
      <c r="C312" s="23"/>
      <c r="D312" s="24"/>
      <c r="E312" s="23"/>
      <c r="F312" s="25"/>
      <c r="G312" s="25"/>
      <c r="H312" s="25"/>
      <c r="I312" s="11"/>
      <c r="J312" s="12"/>
      <c r="K312" s="12"/>
      <c r="L312" s="12"/>
      <c r="M312" s="12"/>
      <c r="N312" s="12"/>
      <c r="O312" s="524"/>
    </row>
    <row r="313" spans="1:15" ht="20.25" customHeight="1" x14ac:dyDescent="0.25">
      <c r="A313" s="30"/>
      <c r="B313" s="30"/>
      <c r="C313" s="31"/>
      <c r="D313" s="31"/>
      <c r="E313" s="31"/>
      <c r="F313" s="32"/>
      <c r="G313" s="32"/>
      <c r="H313" s="32"/>
      <c r="I313" s="11"/>
      <c r="J313" s="12"/>
      <c r="K313" s="12"/>
      <c r="L313" s="12"/>
      <c r="M313" s="12"/>
      <c r="N313" s="12"/>
      <c r="O313" s="524"/>
    </row>
    <row r="314" spans="1:15" ht="20.25" customHeight="1" x14ac:dyDescent="0.25">
      <c r="A314" s="22"/>
      <c r="B314" s="26"/>
      <c r="C314" s="23"/>
      <c r="D314" s="24"/>
      <c r="E314" s="23"/>
      <c r="F314" s="25"/>
      <c r="G314" s="25"/>
      <c r="H314" s="25"/>
      <c r="I314" s="11"/>
      <c r="J314" s="12"/>
      <c r="K314" s="12"/>
      <c r="L314" s="12"/>
      <c r="M314" s="12"/>
      <c r="N314" s="12"/>
      <c r="O314" s="524"/>
    </row>
    <row r="315" spans="1:15" ht="20.25" customHeight="1" x14ac:dyDescent="0.25">
      <c r="A315" s="22"/>
      <c r="B315" s="26"/>
      <c r="C315" s="23"/>
      <c r="D315" s="24"/>
      <c r="E315" s="23"/>
      <c r="F315" s="25"/>
      <c r="G315" s="25"/>
      <c r="H315" s="25"/>
      <c r="I315" s="11"/>
      <c r="J315" s="12"/>
      <c r="K315" s="12"/>
      <c r="L315" s="12"/>
      <c r="M315" s="12"/>
      <c r="N315" s="12"/>
      <c r="O315" s="524"/>
    </row>
    <row r="316" spans="1:15" ht="20.25" customHeight="1" x14ac:dyDescent="0.25">
      <c r="A316" s="22"/>
      <c r="B316" s="26"/>
      <c r="C316" s="23"/>
      <c r="D316" s="24"/>
      <c r="E316" s="23"/>
      <c r="F316" s="25"/>
      <c r="G316" s="25"/>
      <c r="H316" s="25"/>
      <c r="I316" s="11"/>
      <c r="J316" s="12"/>
      <c r="K316" s="12"/>
      <c r="L316" s="12"/>
      <c r="M316" s="12"/>
      <c r="N316" s="12"/>
      <c r="O316" s="524"/>
    </row>
    <row r="317" spans="1:15" ht="20.25" customHeight="1" x14ac:dyDescent="0.25">
      <c r="A317" s="30"/>
      <c r="B317" s="30"/>
      <c r="C317" s="31"/>
      <c r="D317" s="31"/>
      <c r="E317" s="31"/>
      <c r="F317" s="32"/>
      <c r="G317" s="32"/>
      <c r="H317" s="32"/>
      <c r="I317" s="11"/>
      <c r="J317" s="12"/>
      <c r="K317" s="12"/>
      <c r="L317" s="12"/>
      <c r="M317" s="12"/>
      <c r="N317" s="12"/>
      <c r="O317" s="524"/>
    </row>
    <row r="318" spans="1:15" ht="20.25" customHeight="1" x14ac:dyDescent="0.25">
      <c r="A318" s="22"/>
      <c r="B318" s="26"/>
      <c r="C318" s="23"/>
      <c r="D318" s="33"/>
      <c r="E318" s="23"/>
      <c r="F318" s="25"/>
      <c r="G318" s="25"/>
      <c r="H318" s="25"/>
      <c r="I318" s="11"/>
      <c r="J318" s="12"/>
      <c r="K318" s="12"/>
      <c r="L318" s="12"/>
      <c r="M318" s="12"/>
      <c r="N318" s="12"/>
      <c r="O318" s="524"/>
    </row>
    <row r="319" spans="1:15" ht="20.25" customHeight="1" x14ac:dyDescent="0.25">
      <c r="A319" s="22"/>
      <c r="B319" s="26"/>
      <c r="C319" s="23"/>
      <c r="D319" s="33"/>
      <c r="E319" s="23"/>
      <c r="F319" s="25"/>
      <c r="G319" s="25"/>
      <c r="H319" s="25"/>
      <c r="I319" s="11"/>
      <c r="J319" s="12"/>
      <c r="K319" s="12"/>
      <c r="L319" s="12"/>
      <c r="M319" s="12"/>
      <c r="N319" s="12"/>
      <c r="O319" s="524"/>
    </row>
    <row r="320" spans="1:15" ht="20.25" customHeight="1" x14ac:dyDescent="0.25">
      <c r="A320" s="22"/>
      <c r="B320" s="26"/>
      <c r="C320" s="23"/>
      <c r="D320" s="24"/>
      <c r="E320" s="23"/>
      <c r="F320" s="25"/>
      <c r="G320" s="25"/>
      <c r="H320" s="25"/>
      <c r="I320" s="11"/>
      <c r="J320" s="12"/>
      <c r="K320" s="12"/>
      <c r="L320" s="12"/>
      <c r="M320" s="12"/>
      <c r="N320" s="12"/>
      <c r="O320" s="524"/>
    </row>
    <row r="321" spans="1:15" ht="20.25" customHeight="1" x14ac:dyDescent="0.25">
      <c r="A321" s="30"/>
      <c r="B321" s="30"/>
      <c r="C321" s="31"/>
      <c r="D321" s="31"/>
      <c r="E321" s="31"/>
      <c r="F321" s="32"/>
      <c r="G321" s="32"/>
      <c r="H321" s="32"/>
      <c r="I321" s="11"/>
      <c r="J321" s="12"/>
      <c r="K321" s="12"/>
      <c r="L321" s="12"/>
      <c r="M321" s="12"/>
      <c r="N321" s="12"/>
      <c r="O321" s="524"/>
    </row>
    <row r="322" spans="1:15" ht="20.25" customHeight="1" x14ac:dyDescent="0.25">
      <c r="A322" s="14"/>
      <c r="B322" s="15"/>
      <c r="C322" s="14"/>
      <c r="D322" s="14"/>
      <c r="E322" s="14"/>
      <c r="F322" s="16"/>
      <c r="G322" s="16"/>
      <c r="H322" s="16"/>
      <c r="I322" s="11"/>
      <c r="J322" s="12"/>
      <c r="K322" s="12"/>
      <c r="L322" s="12"/>
      <c r="M322" s="12"/>
      <c r="N322" s="12"/>
      <c r="O322" s="524"/>
    </row>
    <row r="323" spans="1:15" ht="30.75" customHeight="1" x14ac:dyDescent="0.25">
      <c r="A323" s="17"/>
      <c r="B323" s="37"/>
      <c r="C323" s="19"/>
      <c r="D323" s="20"/>
      <c r="E323" s="19"/>
      <c r="F323" s="21"/>
      <c r="G323" s="21"/>
      <c r="H323" s="21"/>
      <c r="I323" s="11"/>
      <c r="J323" s="12"/>
      <c r="K323" s="12"/>
      <c r="L323" s="12"/>
      <c r="M323" s="12"/>
      <c r="N323" s="12"/>
      <c r="O323" s="524"/>
    </row>
    <row r="324" spans="1:15" ht="20.25" customHeight="1" x14ac:dyDescent="0.25">
      <c r="A324" s="35"/>
      <c r="B324" s="36"/>
      <c r="C324" s="23"/>
      <c r="D324" s="38"/>
      <c r="E324" s="23"/>
      <c r="F324" s="25"/>
      <c r="G324" s="25"/>
      <c r="H324" s="25"/>
      <c r="I324" s="11"/>
      <c r="J324" s="12"/>
      <c r="K324" s="12"/>
      <c r="L324" s="12"/>
      <c r="M324" s="12"/>
      <c r="N324" s="12"/>
      <c r="O324" s="524"/>
    </row>
    <row r="325" spans="1:15" ht="20.25" customHeight="1" x14ac:dyDescent="0.25">
      <c r="A325" s="35"/>
      <c r="B325" s="36"/>
      <c r="C325" s="23"/>
      <c r="D325" s="38"/>
      <c r="E325" s="23"/>
      <c r="F325" s="25"/>
      <c r="G325" s="25"/>
      <c r="H325" s="25"/>
      <c r="I325" s="11"/>
      <c r="J325" s="12"/>
      <c r="K325" s="12"/>
      <c r="L325" s="12"/>
      <c r="M325" s="12"/>
      <c r="N325" s="12"/>
      <c r="O325" s="524"/>
    </row>
    <row r="326" spans="1:15" ht="20.25" customHeight="1" x14ac:dyDescent="0.25">
      <c r="A326" s="35"/>
      <c r="B326" s="36"/>
      <c r="C326" s="23"/>
      <c r="D326" s="38"/>
      <c r="E326" s="23"/>
      <c r="F326" s="25"/>
      <c r="G326" s="25"/>
      <c r="H326" s="25"/>
      <c r="I326" s="11"/>
      <c r="J326" s="12"/>
      <c r="K326" s="12"/>
      <c r="L326" s="12"/>
      <c r="M326" s="12"/>
      <c r="N326" s="12"/>
      <c r="O326" s="524"/>
    </row>
    <row r="327" spans="1:15" ht="20.25" customHeight="1" x14ac:dyDescent="0.25">
      <c r="A327" s="35"/>
      <c r="B327" s="36"/>
      <c r="C327" s="23"/>
      <c r="D327" s="38"/>
      <c r="E327" s="23"/>
      <c r="F327" s="25"/>
      <c r="G327" s="25"/>
      <c r="H327" s="25"/>
      <c r="I327" s="11"/>
      <c r="J327" s="12"/>
      <c r="K327" s="12"/>
      <c r="L327" s="12"/>
      <c r="M327" s="12"/>
      <c r="N327" s="12"/>
      <c r="O327" s="524"/>
    </row>
    <row r="328" spans="1:15" ht="20.25" customHeight="1" x14ac:dyDescent="0.25">
      <c r="A328" s="35"/>
      <c r="B328" s="36"/>
      <c r="C328" s="23"/>
      <c r="D328" s="38"/>
      <c r="E328" s="23"/>
      <c r="F328" s="25"/>
      <c r="G328" s="25"/>
      <c r="H328" s="25"/>
      <c r="I328" s="11"/>
      <c r="J328" s="12"/>
      <c r="K328" s="12"/>
      <c r="L328" s="12"/>
      <c r="M328" s="12"/>
      <c r="N328" s="12"/>
      <c r="O328" s="524"/>
    </row>
    <row r="329" spans="1:15" ht="20.25" customHeight="1" x14ac:dyDescent="0.25">
      <c r="A329" s="35"/>
      <c r="B329" s="36"/>
      <c r="C329" s="23"/>
      <c r="D329" s="38"/>
      <c r="E329" s="23"/>
      <c r="F329" s="25"/>
      <c r="G329" s="25"/>
      <c r="H329" s="25"/>
      <c r="I329" s="11"/>
      <c r="J329" s="12"/>
      <c r="K329" s="12"/>
      <c r="L329" s="12"/>
      <c r="M329" s="12"/>
      <c r="N329" s="12"/>
      <c r="O329" s="524"/>
    </row>
    <row r="330" spans="1:15" ht="20.25" customHeight="1" x14ac:dyDescent="0.25">
      <c r="A330" s="35"/>
      <c r="B330" s="36"/>
      <c r="C330" s="23"/>
      <c r="D330" s="38"/>
      <c r="E330" s="23"/>
      <c r="F330" s="25"/>
      <c r="G330" s="25"/>
      <c r="H330" s="25"/>
      <c r="I330" s="11"/>
      <c r="J330" s="12"/>
      <c r="K330" s="12"/>
      <c r="L330" s="12"/>
      <c r="M330" s="12"/>
      <c r="N330" s="12"/>
      <c r="O330" s="524"/>
    </row>
    <row r="331" spans="1:15" ht="20.25" customHeight="1" x14ac:dyDescent="0.25">
      <c r="A331" s="35"/>
      <c r="B331" s="36"/>
      <c r="C331" s="23"/>
      <c r="D331" s="38"/>
      <c r="E331" s="39"/>
      <c r="F331" s="40"/>
      <c r="G331" s="25"/>
      <c r="H331" s="25"/>
      <c r="I331" s="11"/>
      <c r="J331" s="12"/>
      <c r="K331" s="12"/>
      <c r="L331" s="12"/>
      <c r="M331" s="12"/>
      <c r="N331" s="12"/>
      <c r="O331" s="524"/>
    </row>
    <row r="332" spans="1:15" ht="20.25" customHeight="1" x14ac:dyDescent="0.25">
      <c r="A332" s="35"/>
      <c r="B332" s="36"/>
      <c r="C332" s="23"/>
      <c r="D332" s="38"/>
      <c r="E332" s="23"/>
      <c r="F332" s="25"/>
      <c r="G332" s="25"/>
      <c r="H332" s="25"/>
      <c r="I332" s="11"/>
      <c r="J332" s="12"/>
      <c r="K332" s="12"/>
      <c r="L332" s="12"/>
      <c r="M332" s="12"/>
      <c r="N332" s="12"/>
      <c r="O332" s="524"/>
    </row>
    <row r="333" spans="1:15" ht="20.25" customHeight="1" x14ac:dyDescent="0.25">
      <c r="A333" s="35"/>
      <c r="B333" s="36"/>
      <c r="C333" s="23"/>
      <c r="D333" s="38"/>
      <c r="E333" s="23"/>
      <c r="F333" s="25"/>
      <c r="G333" s="25"/>
      <c r="H333" s="25"/>
      <c r="I333" s="11"/>
      <c r="J333" s="12"/>
      <c r="K333" s="12"/>
      <c r="L333" s="12"/>
      <c r="M333" s="12"/>
      <c r="N333" s="12"/>
      <c r="O333" s="524"/>
    </row>
    <row r="334" spans="1:15" ht="20.25" customHeight="1" x14ac:dyDescent="0.25">
      <c r="A334" s="35"/>
      <c r="B334" s="36"/>
      <c r="C334" s="23"/>
      <c r="D334" s="38"/>
      <c r="E334" s="23"/>
      <c r="F334" s="25"/>
      <c r="G334" s="25"/>
      <c r="H334" s="25"/>
      <c r="I334" s="11"/>
      <c r="J334" s="12"/>
      <c r="K334" s="12"/>
      <c r="L334" s="12"/>
      <c r="M334" s="12"/>
      <c r="N334" s="12"/>
      <c r="O334" s="524"/>
    </row>
    <row r="335" spans="1:15" x14ac:dyDescent="0.25">
      <c r="A335" s="14"/>
      <c r="B335" s="15"/>
      <c r="C335" s="14"/>
      <c r="D335" s="14"/>
      <c r="E335" s="14"/>
      <c r="F335" s="16"/>
      <c r="G335" s="16"/>
      <c r="H335" s="16"/>
      <c r="I335" s="11"/>
      <c r="J335" s="12"/>
      <c r="K335" s="12"/>
      <c r="L335" s="12"/>
      <c r="M335" s="12"/>
      <c r="N335" s="12"/>
      <c r="O335" s="524"/>
    </row>
    <row r="336" spans="1:15" x14ac:dyDescent="0.25">
      <c r="A336" s="17"/>
      <c r="B336" s="37"/>
      <c r="C336" s="19"/>
      <c r="D336" s="20"/>
      <c r="E336" s="19"/>
      <c r="F336" s="21"/>
      <c r="G336" s="21"/>
      <c r="H336" s="21"/>
      <c r="I336" s="11"/>
      <c r="J336" s="12"/>
      <c r="K336" s="12"/>
      <c r="L336" s="12"/>
      <c r="M336" s="12"/>
      <c r="N336" s="12"/>
      <c r="O336" s="524"/>
    </row>
    <row r="337" spans="1:15" x14ac:dyDescent="0.25">
      <c r="A337" s="35"/>
      <c r="B337" s="36"/>
      <c r="C337" s="23"/>
      <c r="D337" s="38"/>
      <c r="E337" s="23"/>
      <c r="F337" s="25"/>
      <c r="G337" s="25"/>
      <c r="H337" s="25"/>
      <c r="I337" s="11"/>
      <c r="J337" s="12"/>
      <c r="K337" s="12"/>
      <c r="L337" s="12"/>
      <c r="M337" s="12"/>
      <c r="N337" s="12"/>
      <c r="O337" s="524"/>
    </row>
    <row r="338" spans="1:15" x14ac:dyDescent="0.25">
      <c r="A338" s="35"/>
      <c r="B338" s="36"/>
      <c r="C338" s="23"/>
      <c r="D338" s="38"/>
      <c r="E338" s="23"/>
      <c r="F338" s="25"/>
      <c r="G338" s="25"/>
      <c r="H338" s="25"/>
      <c r="I338" s="11"/>
      <c r="J338" s="12"/>
      <c r="K338" s="12"/>
      <c r="L338" s="12"/>
      <c r="M338" s="12"/>
      <c r="N338" s="12"/>
      <c r="O338" s="524"/>
    </row>
    <row r="339" spans="1:15" x14ac:dyDescent="0.25">
      <c r="A339" s="35"/>
      <c r="B339" s="36"/>
      <c r="C339" s="23"/>
      <c r="D339" s="38"/>
      <c r="E339" s="23"/>
      <c r="F339" s="25"/>
      <c r="G339" s="25"/>
      <c r="H339" s="25"/>
      <c r="I339" s="11"/>
      <c r="J339" s="12"/>
      <c r="K339" s="12"/>
      <c r="L339" s="12"/>
      <c r="M339" s="12"/>
      <c r="N339" s="12"/>
      <c r="O339" s="524"/>
    </row>
    <row r="340" spans="1:15" x14ac:dyDescent="0.25">
      <c r="A340" s="35"/>
      <c r="B340" s="36"/>
      <c r="C340" s="23"/>
      <c r="D340" s="38"/>
      <c r="E340" s="23"/>
      <c r="F340" s="25"/>
      <c r="G340" s="25"/>
      <c r="H340" s="25"/>
      <c r="I340" s="11"/>
      <c r="J340" s="12"/>
      <c r="K340" s="12"/>
      <c r="L340" s="12"/>
      <c r="M340" s="12"/>
      <c r="N340" s="12"/>
      <c r="O340" s="524"/>
    </row>
    <row r="341" spans="1:15" x14ac:dyDescent="0.25">
      <c r="A341" s="35"/>
      <c r="B341" s="36"/>
      <c r="C341" s="23"/>
      <c r="D341" s="38"/>
      <c r="E341" s="39"/>
      <c r="F341" s="40"/>
      <c r="G341" s="25"/>
      <c r="H341" s="25"/>
      <c r="I341" s="11"/>
      <c r="J341" s="12"/>
      <c r="K341" s="12"/>
      <c r="L341" s="12"/>
      <c r="M341" s="12"/>
      <c r="N341" s="12"/>
      <c r="O341" s="524"/>
    </row>
    <row r="342" spans="1:15" x14ac:dyDescent="0.25">
      <c r="A342" s="35"/>
      <c r="B342" s="36"/>
      <c r="C342" s="23"/>
      <c r="D342" s="38"/>
      <c r="E342" s="23"/>
      <c r="F342" s="25"/>
      <c r="G342" s="25"/>
      <c r="H342" s="25"/>
      <c r="I342" s="11"/>
      <c r="J342" s="12"/>
      <c r="K342" s="12"/>
      <c r="L342" s="12"/>
      <c r="M342" s="12"/>
      <c r="N342" s="12"/>
      <c r="O342" s="524"/>
    </row>
    <row r="343" spans="1:15" x14ac:dyDescent="0.25">
      <c r="A343" s="35"/>
      <c r="B343" s="36"/>
      <c r="C343" s="23"/>
      <c r="D343" s="38"/>
      <c r="E343" s="23"/>
      <c r="F343" s="25"/>
      <c r="G343" s="25"/>
      <c r="H343" s="25"/>
      <c r="I343" s="11"/>
      <c r="J343" s="12"/>
      <c r="K343" s="12"/>
      <c r="L343" s="12"/>
      <c r="M343" s="12"/>
      <c r="N343" s="12"/>
      <c r="O343" s="524"/>
    </row>
    <row r="344" spans="1:15" x14ac:dyDescent="0.25">
      <c r="A344" s="35"/>
      <c r="B344" s="36"/>
      <c r="C344" s="23"/>
      <c r="D344" s="38"/>
      <c r="E344" s="23"/>
      <c r="F344" s="25"/>
      <c r="G344" s="25"/>
      <c r="H344" s="25"/>
      <c r="I344" s="11"/>
      <c r="J344" s="12"/>
      <c r="K344" s="12"/>
      <c r="L344" s="12"/>
      <c r="M344" s="12"/>
      <c r="N344" s="12"/>
      <c r="O344" s="524"/>
    </row>
    <row r="345" spans="1:15" x14ac:dyDescent="0.25">
      <c r="A345" s="35"/>
      <c r="B345" s="36"/>
      <c r="C345" s="23"/>
      <c r="D345" s="38"/>
      <c r="E345" s="23"/>
      <c r="F345" s="25"/>
      <c r="G345" s="25"/>
      <c r="H345" s="25"/>
      <c r="I345" s="11"/>
      <c r="J345" s="12"/>
      <c r="K345" s="12"/>
      <c r="L345" s="12"/>
      <c r="M345" s="12"/>
      <c r="N345" s="12"/>
      <c r="O345" s="524"/>
    </row>
    <row r="346" spans="1:15" x14ac:dyDescent="0.25">
      <c r="A346" s="14"/>
      <c r="B346" s="15"/>
      <c r="C346" s="14"/>
      <c r="D346" s="14"/>
      <c r="E346" s="14"/>
      <c r="F346" s="16"/>
      <c r="G346" s="16"/>
      <c r="H346" s="16"/>
      <c r="I346" s="11"/>
      <c r="J346" s="12"/>
      <c r="K346" s="12"/>
      <c r="L346" s="12"/>
      <c r="M346" s="12"/>
      <c r="N346" s="12"/>
      <c r="O346" s="524"/>
    </row>
    <row r="347" spans="1:15" x14ac:dyDescent="0.25">
      <c r="A347" s="17"/>
      <c r="B347" s="37"/>
      <c r="C347" s="23"/>
      <c r="D347" s="24"/>
      <c r="E347" s="23"/>
      <c r="F347" s="25"/>
      <c r="G347" s="25"/>
      <c r="H347" s="25"/>
      <c r="I347" s="11"/>
      <c r="J347" s="12"/>
      <c r="K347" s="12"/>
      <c r="L347" s="12"/>
      <c r="M347" s="12"/>
      <c r="N347" s="12"/>
      <c r="O347" s="524"/>
    </row>
    <row r="348" spans="1:15" x14ac:dyDescent="0.25">
      <c r="A348" s="35"/>
      <c r="B348" s="36"/>
      <c r="C348" s="23"/>
      <c r="D348" s="38"/>
      <c r="E348" s="23"/>
      <c r="F348" s="25"/>
      <c r="G348" s="25"/>
      <c r="H348" s="25"/>
      <c r="I348" s="11"/>
      <c r="J348" s="12"/>
      <c r="K348" s="12"/>
      <c r="L348" s="12"/>
      <c r="M348" s="12"/>
      <c r="N348" s="12"/>
      <c r="O348" s="524"/>
    </row>
    <row r="349" spans="1:15" x14ac:dyDescent="0.25">
      <c r="A349" s="35"/>
      <c r="B349" s="36"/>
      <c r="C349" s="23"/>
      <c r="D349" s="38"/>
      <c r="E349" s="23"/>
      <c r="F349" s="25"/>
      <c r="G349" s="25"/>
      <c r="H349" s="25"/>
      <c r="I349" s="11"/>
      <c r="J349" s="12"/>
      <c r="K349" s="12"/>
      <c r="L349" s="12"/>
      <c r="M349" s="12"/>
      <c r="N349" s="12"/>
      <c r="O349" s="524"/>
    </row>
    <row r="350" spans="1:15" x14ac:dyDescent="0.25">
      <c r="A350" s="35"/>
      <c r="B350" s="36"/>
      <c r="C350" s="23"/>
      <c r="D350" s="38"/>
      <c r="E350" s="23"/>
      <c r="F350" s="25"/>
      <c r="G350" s="25"/>
      <c r="H350" s="25"/>
      <c r="I350" s="11"/>
      <c r="J350" s="12"/>
      <c r="K350" s="12"/>
      <c r="L350" s="12"/>
      <c r="M350" s="12"/>
      <c r="N350" s="12"/>
      <c r="O350" s="524"/>
    </row>
    <row r="351" spans="1:15" x14ac:dyDescent="0.25">
      <c r="A351" s="35"/>
      <c r="B351" s="36"/>
      <c r="C351" s="23"/>
      <c r="D351" s="38"/>
      <c r="E351" s="23"/>
      <c r="F351" s="25"/>
      <c r="G351" s="25"/>
      <c r="H351" s="25"/>
      <c r="I351" s="11"/>
      <c r="J351" s="12"/>
      <c r="K351" s="12"/>
      <c r="L351" s="12"/>
      <c r="M351" s="12"/>
      <c r="N351" s="12"/>
      <c r="O351" s="524"/>
    </row>
    <row r="352" spans="1:15" x14ac:dyDescent="0.25">
      <c r="A352" s="35"/>
      <c r="B352" s="36"/>
      <c r="C352" s="23"/>
      <c r="D352" s="38"/>
      <c r="E352" s="23"/>
      <c r="F352" s="25"/>
      <c r="G352" s="25"/>
      <c r="H352" s="25"/>
      <c r="I352" s="11"/>
      <c r="J352" s="12"/>
      <c r="K352" s="12"/>
      <c r="L352" s="12"/>
      <c r="M352" s="12"/>
      <c r="N352" s="12"/>
      <c r="O352" s="524"/>
    </row>
    <row r="353" spans="1:15" x14ac:dyDescent="0.25">
      <c r="A353" s="35"/>
      <c r="B353" s="36"/>
      <c r="C353" s="23"/>
      <c r="D353" s="38"/>
      <c r="E353" s="23"/>
      <c r="F353" s="25"/>
      <c r="G353" s="25"/>
      <c r="H353" s="25"/>
      <c r="I353" s="11"/>
      <c r="J353" s="12"/>
      <c r="K353" s="12"/>
      <c r="L353" s="12"/>
      <c r="M353" s="12"/>
      <c r="N353" s="12"/>
      <c r="O353" s="524"/>
    </row>
    <row r="354" spans="1:15" x14ac:dyDescent="0.25">
      <c r="A354" s="35"/>
      <c r="B354" s="36"/>
      <c r="C354" s="23"/>
      <c r="D354" s="38"/>
      <c r="E354" s="23"/>
      <c r="F354" s="25"/>
      <c r="G354" s="25"/>
      <c r="H354" s="25"/>
      <c r="I354" s="11"/>
      <c r="J354" s="12"/>
      <c r="K354" s="12"/>
      <c r="L354" s="12"/>
      <c r="M354" s="12"/>
      <c r="N354" s="12"/>
      <c r="O354" s="524"/>
    </row>
    <row r="355" spans="1:15" x14ac:dyDescent="0.25">
      <c r="A355" s="35"/>
      <c r="B355" s="36"/>
      <c r="C355" s="23"/>
      <c r="D355" s="38"/>
      <c r="E355" s="39"/>
      <c r="F355" s="40"/>
      <c r="G355" s="25"/>
      <c r="H355" s="25"/>
      <c r="I355" s="11"/>
      <c r="J355" s="12"/>
      <c r="K355" s="12"/>
      <c r="L355" s="12"/>
      <c r="M355" s="12"/>
      <c r="N355" s="12"/>
      <c r="O355" s="524"/>
    </row>
    <row r="356" spans="1:15" x14ac:dyDescent="0.25">
      <c r="A356" s="35"/>
      <c r="B356" s="36"/>
      <c r="C356" s="23"/>
      <c r="D356" s="38"/>
      <c r="E356" s="23"/>
      <c r="F356" s="25"/>
      <c r="G356" s="25"/>
      <c r="H356" s="25"/>
      <c r="I356" s="11"/>
      <c r="J356" s="12"/>
      <c r="K356" s="12"/>
      <c r="L356" s="12"/>
      <c r="M356" s="12"/>
      <c r="N356" s="12"/>
      <c r="O356" s="524"/>
    </row>
    <row r="357" spans="1:15" x14ac:dyDescent="0.25">
      <c r="A357" s="35"/>
      <c r="B357" s="36"/>
      <c r="C357" s="23"/>
      <c r="D357" s="38"/>
      <c r="E357" s="23"/>
      <c r="F357" s="25"/>
      <c r="G357" s="25"/>
      <c r="H357" s="25"/>
      <c r="I357" s="11"/>
      <c r="J357" s="12"/>
      <c r="K357" s="12"/>
      <c r="L357" s="12"/>
      <c r="M357" s="12"/>
      <c r="N357" s="12"/>
      <c r="O357" s="524"/>
    </row>
    <row r="358" spans="1:15" x14ac:dyDescent="0.25">
      <c r="A358" s="35"/>
      <c r="B358" s="36"/>
      <c r="C358" s="23"/>
      <c r="D358" s="38"/>
      <c r="E358" s="23"/>
      <c r="F358" s="25"/>
      <c r="G358" s="25"/>
      <c r="H358" s="25"/>
      <c r="I358" s="11"/>
      <c r="J358" s="12"/>
      <c r="K358" s="12"/>
      <c r="L358" s="12"/>
      <c r="M358" s="12"/>
      <c r="N358" s="12"/>
      <c r="O358" s="524"/>
    </row>
    <row r="359" spans="1:15" x14ac:dyDescent="0.25">
      <c r="A359" s="14"/>
      <c r="B359" s="15"/>
      <c r="C359" s="14"/>
      <c r="D359" s="14"/>
      <c r="E359" s="14"/>
      <c r="F359" s="16"/>
      <c r="G359" s="16"/>
      <c r="H359" s="16"/>
      <c r="I359" s="11"/>
      <c r="J359" s="12"/>
      <c r="K359" s="12"/>
      <c r="L359" s="12"/>
      <c r="M359" s="12"/>
      <c r="N359" s="12"/>
      <c r="O359" s="524"/>
    </row>
    <row r="360" spans="1:15" x14ac:dyDescent="0.25">
      <c r="A360" s="17"/>
      <c r="B360" s="41"/>
      <c r="C360" s="19"/>
      <c r="D360" s="20"/>
      <c r="E360" s="19"/>
      <c r="F360" s="21"/>
      <c r="G360" s="21"/>
      <c r="H360" s="21"/>
      <c r="I360" s="11"/>
      <c r="J360" s="12"/>
      <c r="K360" s="12"/>
      <c r="L360" s="12"/>
      <c r="M360" s="12"/>
      <c r="N360" s="12"/>
      <c r="O360" s="524"/>
    </row>
    <row r="361" spans="1:15" x14ac:dyDescent="0.25">
      <c r="A361" s="35"/>
      <c r="B361" s="36"/>
      <c r="C361" s="23"/>
      <c r="D361" s="42"/>
      <c r="E361" s="23"/>
      <c r="F361" s="25"/>
      <c r="G361" s="25"/>
      <c r="H361" s="25"/>
      <c r="I361" s="11"/>
      <c r="J361" s="12"/>
      <c r="K361" s="12"/>
      <c r="L361" s="12"/>
      <c r="M361" s="12"/>
      <c r="N361" s="12"/>
      <c r="O361" s="524"/>
    </row>
    <row r="362" spans="1:15" x14ac:dyDescent="0.25">
      <c r="A362" s="35"/>
      <c r="B362" s="36"/>
      <c r="C362" s="23"/>
      <c r="D362" s="42"/>
      <c r="E362" s="23"/>
      <c r="F362" s="25"/>
      <c r="G362" s="25"/>
      <c r="H362" s="25"/>
      <c r="I362" s="11"/>
      <c r="J362" s="12"/>
      <c r="K362" s="12"/>
      <c r="L362" s="12"/>
      <c r="M362" s="12"/>
      <c r="N362" s="12"/>
      <c r="O362" s="524"/>
    </row>
    <row r="363" spans="1:15" x14ac:dyDescent="0.25">
      <c r="A363" s="35"/>
      <c r="B363" s="36"/>
      <c r="C363" s="23"/>
      <c r="D363" s="42"/>
      <c r="E363" s="23"/>
      <c r="F363" s="25"/>
      <c r="G363" s="25"/>
      <c r="H363" s="25"/>
      <c r="I363" s="11"/>
      <c r="J363" s="12"/>
      <c r="K363" s="12"/>
      <c r="L363" s="12"/>
      <c r="M363" s="12"/>
      <c r="N363" s="12"/>
      <c r="O363" s="524"/>
    </row>
    <row r="364" spans="1:15" x14ac:dyDescent="0.25">
      <c r="A364" s="35"/>
      <c r="B364" s="36"/>
      <c r="C364" s="23"/>
      <c r="D364" s="38"/>
      <c r="E364" s="23"/>
      <c r="F364" s="25"/>
      <c r="G364" s="25"/>
      <c r="H364" s="25"/>
      <c r="I364" s="11"/>
      <c r="J364" s="12"/>
      <c r="K364" s="12"/>
      <c r="L364" s="12"/>
      <c r="M364" s="12"/>
      <c r="N364" s="12"/>
      <c r="O364" s="524"/>
    </row>
    <row r="365" spans="1:15" x14ac:dyDescent="0.25">
      <c r="A365" s="35"/>
      <c r="B365" s="36"/>
      <c r="C365" s="23"/>
      <c r="D365" s="38"/>
      <c r="E365" s="23"/>
      <c r="F365" s="25"/>
      <c r="G365" s="25"/>
      <c r="H365" s="25"/>
      <c r="I365" s="11"/>
      <c r="J365" s="12"/>
      <c r="K365" s="12"/>
      <c r="L365" s="12"/>
      <c r="M365" s="12"/>
      <c r="N365" s="12"/>
      <c r="O365" s="524"/>
    </row>
    <row r="366" spans="1:15" x14ac:dyDescent="0.25">
      <c r="A366" s="43"/>
      <c r="B366" s="44"/>
      <c r="C366" s="45"/>
      <c r="D366" s="45"/>
      <c r="E366" s="45"/>
      <c r="F366" s="46"/>
      <c r="G366" s="47"/>
      <c r="H366" s="47"/>
      <c r="I366" s="11"/>
      <c r="J366" s="12"/>
      <c r="K366" s="12"/>
      <c r="L366" s="12"/>
      <c r="M366" s="12"/>
      <c r="N366" s="12"/>
      <c r="O366" s="524"/>
    </row>
    <row r="367" spans="1:15" x14ac:dyDescent="0.25">
      <c r="A367" s="17"/>
      <c r="B367" s="37"/>
      <c r="C367" s="19"/>
      <c r="D367" s="20"/>
      <c r="E367" s="19"/>
      <c r="F367" s="21"/>
      <c r="G367" s="21"/>
      <c r="H367" s="21"/>
      <c r="I367" s="11"/>
      <c r="J367" s="12"/>
      <c r="K367" s="12"/>
      <c r="L367" s="12"/>
      <c r="M367" s="12"/>
      <c r="N367" s="12"/>
      <c r="O367" s="524"/>
    </row>
    <row r="368" spans="1:15" x14ac:dyDescent="0.25">
      <c r="A368" s="35"/>
      <c r="B368" s="36"/>
      <c r="C368" s="23"/>
      <c r="D368" s="33"/>
      <c r="E368" s="23"/>
      <c r="F368" s="25"/>
      <c r="G368" s="25"/>
      <c r="H368" s="25"/>
      <c r="I368" s="11"/>
      <c r="J368" s="12"/>
      <c r="K368" s="12"/>
      <c r="L368" s="12"/>
      <c r="M368" s="12"/>
      <c r="N368" s="12"/>
      <c r="O368" s="524"/>
    </row>
    <row r="369" spans="1:15" x14ac:dyDescent="0.25">
      <c r="A369" s="35"/>
      <c r="B369" s="36"/>
      <c r="C369" s="23"/>
      <c r="D369" s="33"/>
      <c r="E369" s="23"/>
      <c r="F369" s="25"/>
      <c r="G369" s="25"/>
      <c r="H369" s="25"/>
      <c r="I369" s="11"/>
      <c r="J369" s="12"/>
      <c r="K369" s="12"/>
      <c r="L369" s="12"/>
      <c r="M369" s="12"/>
      <c r="N369" s="12"/>
      <c r="O369" s="524"/>
    </row>
    <row r="370" spans="1:15" x14ac:dyDescent="0.25">
      <c r="A370" s="43"/>
      <c r="B370" s="44"/>
      <c r="C370" s="45"/>
      <c r="D370" s="45"/>
      <c r="E370" s="45"/>
      <c r="F370" s="46"/>
      <c r="G370" s="47"/>
      <c r="H370" s="47"/>
      <c r="I370" s="11"/>
      <c r="J370" s="12"/>
      <c r="K370" s="12"/>
      <c r="L370" s="12"/>
      <c r="M370" s="12"/>
      <c r="N370" s="12"/>
      <c r="O370" s="524"/>
    </row>
    <row r="371" spans="1:15" x14ac:dyDescent="0.25">
      <c r="A371" s="14"/>
      <c r="B371" s="15"/>
      <c r="C371" s="14"/>
      <c r="D371" s="14"/>
      <c r="E371" s="14"/>
      <c r="F371" s="16"/>
      <c r="G371" s="16"/>
      <c r="H371" s="16"/>
      <c r="I371" s="11"/>
      <c r="J371" s="12"/>
      <c r="K371" s="12"/>
      <c r="L371" s="12"/>
      <c r="M371" s="12"/>
      <c r="N371" s="12"/>
      <c r="O371" s="524"/>
    </row>
    <row r="372" spans="1:15" x14ac:dyDescent="0.25">
      <c r="A372" s="17"/>
      <c r="B372" s="37"/>
      <c r="C372" s="19"/>
      <c r="D372" s="20"/>
      <c r="E372" s="19"/>
      <c r="F372" s="21"/>
      <c r="G372" s="21"/>
      <c r="H372" s="21"/>
      <c r="I372" s="11"/>
      <c r="J372" s="12"/>
      <c r="K372" s="12"/>
      <c r="L372" s="12"/>
      <c r="M372" s="12"/>
      <c r="N372" s="12"/>
      <c r="O372" s="524"/>
    </row>
    <row r="373" spans="1:15" x14ac:dyDescent="0.25">
      <c r="A373" s="35"/>
      <c r="B373" s="36"/>
      <c r="C373" s="23"/>
      <c r="D373" s="38"/>
      <c r="E373" s="23"/>
      <c r="F373" s="25"/>
      <c r="G373" s="25"/>
      <c r="H373" s="25"/>
      <c r="I373" s="11"/>
      <c r="J373" s="12"/>
      <c r="K373" s="12"/>
      <c r="L373" s="12"/>
      <c r="M373" s="12"/>
      <c r="N373" s="12"/>
      <c r="O373" s="524"/>
    </row>
    <row r="374" spans="1:15" x14ac:dyDescent="0.25">
      <c r="A374" s="35"/>
      <c r="B374" s="36"/>
      <c r="C374" s="23"/>
      <c r="D374" s="38"/>
      <c r="E374" s="23"/>
      <c r="F374" s="25"/>
      <c r="G374" s="25"/>
      <c r="H374" s="25"/>
      <c r="I374" s="11"/>
      <c r="J374" s="12"/>
      <c r="K374" s="12"/>
      <c r="L374" s="12"/>
      <c r="M374" s="12"/>
      <c r="N374" s="12"/>
      <c r="O374" s="524"/>
    </row>
    <row r="375" spans="1:15" x14ac:dyDescent="0.25">
      <c r="A375" s="35"/>
      <c r="B375" s="36"/>
      <c r="C375" s="23"/>
      <c r="D375" s="38"/>
      <c r="E375" s="23"/>
      <c r="F375" s="25"/>
      <c r="G375" s="25"/>
      <c r="H375" s="25"/>
      <c r="I375" s="11"/>
      <c r="J375" s="12"/>
      <c r="K375" s="12"/>
      <c r="L375" s="12"/>
      <c r="M375" s="12"/>
      <c r="N375" s="12"/>
      <c r="O375" s="524"/>
    </row>
    <row r="376" spans="1:15" x14ac:dyDescent="0.25">
      <c r="A376" s="35"/>
      <c r="B376" s="36"/>
      <c r="C376" s="23"/>
      <c r="D376" s="38"/>
      <c r="E376" s="23"/>
      <c r="F376" s="25"/>
      <c r="G376" s="25"/>
      <c r="H376" s="25"/>
      <c r="I376" s="11"/>
      <c r="J376" s="12"/>
      <c r="K376" s="12"/>
      <c r="L376" s="12"/>
      <c r="M376" s="12"/>
      <c r="N376" s="12"/>
      <c r="O376" s="524"/>
    </row>
    <row r="377" spans="1:15" x14ac:dyDescent="0.25">
      <c r="A377" s="35"/>
      <c r="B377" s="36"/>
      <c r="C377" s="23"/>
      <c r="D377" s="38"/>
      <c r="E377" s="23"/>
      <c r="F377" s="25"/>
      <c r="G377" s="25"/>
      <c r="H377" s="25"/>
      <c r="I377" s="11"/>
      <c r="J377" s="12"/>
      <c r="K377" s="12"/>
      <c r="L377" s="12"/>
      <c r="M377" s="12"/>
      <c r="N377" s="12"/>
      <c r="O377" s="524"/>
    </row>
    <row r="378" spans="1:15" x14ac:dyDescent="0.25">
      <c r="A378" s="35"/>
      <c r="B378" s="36"/>
      <c r="C378" s="23"/>
      <c r="D378" s="38"/>
      <c r="E378" s="23"/>
      <c r="F378" s="25"/>
      <c r="G378" s="25"/>
      <c r="H378" s="25"/>
      <c r="I378" s="11"/>
      <c r="J378" s="12"/>
      <c r="K378" s="12"/>
      <c r="L378" s="12"/>
      <c r="M378" s="12"/>
      <c r="N378" s="12"/>
      <c r="O378" s="524"/>
    </row>
    <row r="379" spans="1:15" x14ac:dyDescent="0.25">
      <c r="A379" s="35"/>
      <c r="B379" s="36"/>
      <c r="C379" s="23"/>
      <c r="D379" s="38"/>
      <c r="E379" s="23"/>
      <c r="F379" s="25"/>
      <c r="G379" s="25"/>
      <c r="H379" s="25"/>
      <c r="I379" s="11"/>
      <c r="J379" s="12"/>
      <c r="K379" s="12"/>
      <c r="L379" s="12"/>
      <c r="M379" s="12"/>
      <c r="N379" s="12"/>
      <c r="O379" s="524"/>
    </row>
    <row r="380" spans="1:15" x14ac:dyDescent="0.25">
      <c r="A380" s="35"/>
      <c r="B380" s="36"/>
      <c r="C380" s="23"/>
      <c r="D380" s="38"/>
      <c r="E380" s="23"/>
      <c r="F380" s="25"/>
      <c r="G380" s="25"/>
      <c r="H380" s="25"/>
      <c r="I380" s="11"/>
      <c r="J380" s="12"/>
      <c r="K380" s="12"/>
      <c r="L380" s="12"/>
      <c r="M380" s="12"/>
      <c r="N380" s="12"/>
      <c r="O380" s="524"/>
    </row>
    <row r="381" spans="1:15" x14ac:dyDescent="0.25">
      <c r="A381" s="35"/>
      <c r="B381" s="36"/>
      <c r="C381" s="23"/>
      <c r="D381" s="38"/>
      <c r="E381" s="23"/>
      <c r="F381" s="25"/>
      <c r="G381" s="25"/>
      <c r="H381" s="25"/>
      <c r="I381" s="11"/>
      <c r="J381" s="12"/>
      <c r="K381" s="12"/>
      <c r="L381" s="12"/>
      <c r="M381" s="12"/>
      <c r="N381" s="12"/>
      <c r="O381" s="524"/>
    </row>
    <row r="382" spans="1:15" x14ac:dyDescent="0.25">
      <c r="A382" s="30"/>
      <c r="B382" s="30"/>
      <c r="C382" s="31"/>
      <c r="D382" s="31"/>
      <c r="E382" s="31"/>
      <c r="F382" s="32"/>
      <c r="G382" s="32"/>
      <c r="H382" s="32"/>
      <c r="I382" s="11"/>
      <c r="J382" s="12"/>
      <c r="K382" s="12"/>
      <c r="L382" s="12"/>
      <c r="M382" s="12"/>
      <c r="N382" s="12"/>
      <c r="O382" s="524"/>
    </row>
    <row r="383" spans="1:15" ht="14.25" customHeight="1" x14ac:dyDescent="0.25">
      <c r="A383" s="35"/>
      <c r="B383" s="36"/>
      <c r="C383" s="23"/>
      <c r="D383" s="38"/>
      <c r="E383" s="23"/>
      <c r="F383" s="25"/>
      <c r="G383" s="25"/>
      <c r="H383" s="25"/>
      <c r="I383" s="11"/>
      <c r="J383" s="12"/>
      <c r="K383" s="12"/>
      <c r="L383" s="12"/>
      <c r="M383" s="12"/>
      <c r="N383" s="12"/>
      <c r="O383" s="524"/>
    </row>
    <row r="384" spans="1:15" ht="14.25" customHeight="1" x14ac:dyDescent="0.25">
      <c r="A384" s="35"/>
      <c r="B384" s="36"/>
      <c r="C384" s="23"/>
      <c r="D384" s="38"/>
      <c r="E384" s="23"/>
      <c r="F384" s="25"/>
      <c r="G384" s="25"/>
      <c r="H384" s="25"/>
      <c r="I384" s="11"/>
      <c r="J384" s="12"/>
      <c r="K384" s="12"/>
      <c r="L384" s="12"/>
      <c r="M384" s="12"/>
      <c r="N384" s="12"/>
      <c r="O384" s="524"/>
    </row>
    <row r="385" spans="1:15" ht="14.25" customHeight="1" x14ac:dyDescent="0.25">
      <c r="A385" s="35"/>
      <c r="B385" s="36"/>
      <c r="C385" s="23"/>
      <c r="D385" s="38"/>
      <c r="E385" s="23"/>
      <c r="F385" s="25"/>
      <c r="G385" s="25"/>
      <c r="H385" s="25"/>
      <c r="I385" s="11"/>
      <c r="J385" s="12"/>
      <c r="K385" s="12"/>
      <c r="L385" s="12"/>
      <c r="M385" s="12"/>
      <c r="N385" s="12"/>
      <c r="O385" s="524"/>
    </row>
    <row r="386" spans="1:15" ht="14.25" customHeight="1" x14ac:dyDescent="0.25">
      <c r="A386" s="35"/>
      <c r="B386" s="36"/>
      <c r="C386" s="23"/>
      <c r="D386" s="38"/>
      <c r="E386" s="23"/>
      <c r="F386" s="25"/>
      <c r="G386" s="25"/>
      <c r="H386" s="25"/>
      <c r="I386" s="11"/>
      <c r="J386" s="12"/>
      <c r="K386" s="12"/>
      <c r="L386" s="12"/>
      <c r="M386" s="12"/>
      <c r="N386" s="12"/>
      <c r="O386" s="524"/>
    </row>
    <row r="387" spans="1:15" ht="14.25" customHeight="1" x14ac:dyDescent="0.25">
      <c r="A387" s="35"/>
      <c r="B387" s="36"/>
      <c r="C387" s="23"/>
      <c r="D387" s="38"/>
      <c r="E387" s="23"/>
      <c r="F387" s="25"/>
      <c r="G387" s="25"/>
      <c r="H387" s="25"/>
      <c r="I387" s="11"/>
      <c r="J387" s="12"/>
      <c r="K387" s="12"/>
      <c r="L387" s="12"/>
      <c r="M387" s="12"/>
      <c r="N387" s="12"/>
      <c r="O387" s="524"/>
    </row>
    <row r="388" spans="1:15" x14ac:dyDescent="0.25">
      <c r="A388" s="35"/>
      <c r="B388" s="36"/>
      <c r="C388" s="23"/>
      <c r="D388" s="38"/>
      <c r="E388" s="23"/>
      <c r="F388" s="25"/>
      <c r="G388" s="25"/>
      <c r="H388" s="25"/>
      <c r="I388" s="11"/>
      <c r="J388" s="12"/>
      <c r="K388" s="12"/>
      <c r="L388" s="12"/>
      <c r="M388" s="12"/>
      <c r="N388" s="12"/>
      <c r="O388" s="524"/>
    </row>
    <row r="389" spans="1:15" x14ac:dyDescent="0.25">
      <c r="A389" s="35"/>
      <c r="B389" s="36"/>
      <c r="C389" s="23"/>
      <c r="D389" s="38"/>
      <c r="E389" s="23"/>
      <c r="F389" s="25"/>
      <c r="G389" s="25"/>
      <c r="H389" s="25"/>
      <c r="I389" s="11"/>
      <c r="J389" s="12"/>
      <c r="K389" s="12"/>
      <c r="L389" s="12"/>
      <c r="M389" s="12"/>
      <c r="N389" s="12"/>
      <c r="O389" s="524"/>
    </row>
    <row r="390" spans="1:15" x14ac:dyDescent="0.25">
      <c r="A390" s="35"/>
      <c r="B390" s="36"/>
      <c r="C390" s="23"/>
      <c r="D390" s="38"/>
      <c r="E390" s="23"/>
      <c r="F390" s="25"/>
      <c r="G390" s="25"/>
      <c r="H390" s="25"/>
      <c r="I390" s="11"/>
      <c r="J390" s="12"/>
      <c r="K390" s="12"/>
      <c r="L390" s="12"/>
      <c r="M390" s="12"/>
      <c r="N390" s="12"/>
      <c r="O390" s="524"/>
    </row>
    <row r="391" spans="1:15" x14ac:dyDescent="0.25">
      <c r="A391" s="35"/>
      <c r="B391" s="36"/>
      <c r="C391" s="23"/>
      <c r="D391" s="38"/>
      <c r="E391" s="23"/>
      <c r="F391" s="25"/>
      <c r="G391" s="25"/>
      <c r="H391" s="25"/>
      <c r="I391" s="11"/>
      <c r="J391" s="12"/>
      <c r="K391" s="12"/>
      <c r="L391" s="12"/>
      <c r="M391" s="12"/>
      <c r="N391" s="12"/>
      <c r="O391" s="524"/>
    </row>
    <row r="392" spans="1:15" x14ac:dyDescent="0.25">
      <c r="A392" s="30"/>
      <c r="B392" s="30"/>
      <c r="C392" s="31"/>
      <c r="D392" s="31"/>
      <c r="E392" s="31"/>
      <c r="F392" s="32"/>
      <c r="G392" s="32"/>
      <c r="H392" s="32"/>
      <c r="I392" s="11"/>
      <c r="J392" s="12"/>
      <c r="K392" s="12"/>
      <c r="L392" s="12"/>
      <c r="M392" s="12"/>
      <c r="N392" s="12"/>
      <c r="O392" s="524"/>
    </row>
    <row r="393" spans="1:15" x14ac:dyDescent="0.25">
      <c r="A393" s="35"/>
      <c r="B393" s="36"/>
      <c r="C393" s="23"/>
      <c r="D393" s="38"/>
      <c r="E393" s="23"/>
      <c r="F393" s="25"/>
      <c r="G393" s="25"/>
      <c r="H393" s="25"/>
      <c r="I393" s="11"/>
      <c r="J393" s="12"/>
      <c r="K393" s="12"/>
      <c r="L393" s="12"/>
      <c r="M393" s="12"/>
      <c r="N393" s="12"/>
      <c r="O393" s="524"/>
    </row>
    <row r="394" spans="1:15" x14ac:dyDescent="0.25">
      <c r="A394" s="35"/>
      <c r="B394" s="36"/>
      <c r="C394" s="23"/>
      <c r="D394" s="38"/>
      <c r="E394" s="23"/>
      <c r="F394" s="25"/>
      <c r="G394" s="25"/>
      <c r="H394" s="25"/>
      <c r="I394" s="11"/>
      <c r="J394" s="12"/>
      <c r="K394" s="12"/>
      <c r="L394" s="12"/>
      <c r="M394" s="12"/>
      <c r="N394" s="12"/>
      <c r="O394" s="524"/>
    </row>
    <row r="395" spans="1:15" x14ac:dyDescent="0.25">
      <c r="A395" s="35"/>
      <c r="B395" s="36"/>
      <c r="C395" s="23"/>
      <c r="D395" s="38"/>
      <c r="E395" s="23"/>
      <c r="F395" s="25"/>
      <c r="G395" s="25"/>
      <c r="H395" s="25"/>
      <c r="I395" s="11"/>
      <c r="J395" s="12"/>
      <c r="K395" s="12"/>
      <c r="L395" s="12"/>
      <c r="M395" s="12"/>
      <c r="N395" s="12"/>
      <c r="O395" s="524"/>
    </row>
    <row r="396" spans="1:15" x14ac:dyDescent="0.25">
      <c r="A396" s="35"/>
      <c r="B396" s="36"/>
      <c r="C396" s="23"/>
      <c r="D396" s="38"/>
      <c r="E396" s="23"/>
      <c r="F396" s="25"/>
      <c r="G396" s="25"/>
      <c r="H396" s="25"/>
      <c r="I396" s="11"/>
      <c r="J396" s="12"/>
      <c r="K396" s="12"/>
      <c r="L396" s="12"/>
      <c r="M396" s="12"/>
      <c r="N396" s="12"/>
      <c r="O396" s="524"/>
    </row>
    <row r="397" spans="1:15" x14ac:dyDescent="0.25">
      <c r="A397" s="35"/>
      <c r="B397" s="36"/>
      <c r="C397" s="23"/>
      <c r="D397" s="38"/>
      <c r="E397" s="23"/>
      <c r="F397" s="25"/>
      <c r="G397" s="25"/>
      <c r="H397" s="25"/>
      <c r="I397" s="11"/>
      <c r="J397" s="12"/>
      <c r="K397" s="12"/>
      <c r="L397" s="12"/>
      <c r="M397" s="12"/>
      <c r="N397" s="12"/>
      <c r="O397" s="524"/>
    </row>
    <row r="398" spans="1:15" x14ac:dyDescent="0.25">
      <c r="A398" s="35"/>
      <c r="B398" s="36"/>
      <c r="C398" s="23"/>
      <c r="D398" s="38"/>
      <c r="E398" s="23"/>
      <c r="F398" s="25"/>
      <c r="G398" s="25"/>
      <c r="H398" s="25"/>
      <c r="I398" s="11"/>
      <c r="J398" s="12"/>
      <c r="K398" s="12"/>
      <c r="L398" s="12"/>
      <c r="M398" s="12"/>
      <c r="N398" s="12"/>
      <c r="O398" s="524"/>
    </row>
    <row r="399" spans="1:15" x14ac:dyDescent="0.25">
      <c r="A399" s="35"/>
      <c r="B399" s="36"/>
      <c r="C399" s="23"/>
      <c r="D399" s="38"/>
      <c r="E399" s="23"/>
      <c r="F399" s="25"/>
      <c r="G399" s="25"/>
      <c r="H399" s="25"/>
      <c r="I399" s="11"/>
      <c r="J399" s="12"/>
      <c r="K399" s="12"/>
      <c r="L399" s="12"/>
      <c r="M399" s="12"/>
      <c r="N399" s="12"/>
      <c r="O399" s="524"/>
    </row>
    <row r="400" spans="1:15" x14ac:dyDescent="0.25">
      <c r="A400" s="35"/>
      <c r="B400" s="36"/>
      <c r="C400" s="23"/>
      <c r="D400" s="38"/>
      <c r="E400" s="23"/>
      <c r="F400" s="25"/>
      <c r="G400" s="25"/>
      <c r="H400" s="25"/>
      <c r="I400" s="11"/>
      <c r="J400" s="12"/>
      <c r="K400" s="12"/>
      <c r="L400" s="12"/>
      <c r="M400" s="12"/>
      <c r="N400" s="12"/>
      <c r="O400" s="524"/>
    </row>
    <row r="401" spans="1:15" x14ac:dyDescent="0.25">
      <c r="A401" s="35"/>
      <c r="B401" s="36"/>
      <c r="C401" s="23"/>
      <c r="D401" s="38"/>
      <c r="E401" s="23"/>
      <c r="F401" s="25"/>
      <c r="G401" s="25"/>
      <c r="H401" s="25"/>
      <c r="I401" s="11"/>
      <c r="J401" s="12"/>
      <c r="K401" s="12"/>
      <c r="L401" s="12"/>
      <c r="M401" s="12"/>
      <c r="N401" s="12"/>
      <c r="O401" s="524"/>
    </row>
    <row r="402" spans="1:15" x14ac:dyDescent="0.25">
      <c r="A402" s="30"/>
      <c r="B402" s="30"/>
      <c r="C402" s="31"/>
      <c r="D402" s="31"/>
      <c r="E402" s="31"/>
      <c r="F402" s="32"/>
      <c r="G402" s="32"/>
      <c r="H402" s="32"/>
      <c r="I402" s="11"/>
      <c r="J402" s="12"/>
      <c r="K402" s="12"/>
      <c r="L402" s="12"/>
      <c r="M402" s="12"/>
      <c r="N402" s="12"/>
      <c r="O402" s="524"/>
    </row>
    <row r="403" spans="1:15" x14ac:dyDescent="0.25">
      <c r="A403" s="35"/>
      <c r="B403" s="36"/>
      <c r="C403" s="23"/>
      <c r="D403" s="38"/>
      <c r="E403" s="23"/>
      <c r="F403" s="25"/>
      <c r="G403" s="25"/>
      <c r="H403" s="25"/>
      <c r="I403" s="11"/>
      <c r="J403" s="12"/>
      <c r="K403" s="12"/>
      <c r="L403" s="12"/>
      <c r="M403" s="12"/>
      <c r="N403" s="12"/>
      <c r="O403" s="524"/>
    </row>
    <row r="404" spans="1:15" x14ac:dyDescent="0.25">
      <c r="A404" s="35"/>
      <c r="B404" s="36"/>
      <c r="C404" s="23"/>
      <c r="D404" s="38"/>
      <c r="E404" s="23"/>
      <c r="F404" s="25"/>
      <c r="G404" s="25"/>
      <c r="H404" s="25"/>
      <c r="I404" s="11"/>
      <c r="J404" s="12"/>
      <c r="K404" s="12"/>
      <c r="L404" s="12"/>
      <c r="M404" s="12"/>
      <c r="N404" s="12"/>
      <c r="O404" s="524"/>
    </row>
    <row r="405" spans="1:15" x14ac:dyDescent="0.25">
      <c r="A405" s="35"/>
      <c r="B405" s="36"/>
      <c r="C405" s="23"/>
      <c r="D405" s="38"/>
      <c r="E405" s="23"/>
      <c r="F405" s="25"/>
      <c r="G405" s="25"/>
      <c r="H405" s="25"/>
      <c r="I405" s="11"/>
      <c r="J405" s="12"/>
      <c r="K405" s="12"/>
      <c r="L405" s="12"/>
      <c r="M405" s="12"/>
      <c r="N405" s="12"/>
      <c r="O405" s="524"/>
    </row>
    <row r="406" spans="1:15" x14ac:dyDescent="0.25">
      <c r="A406" s="35"/>
      <c r="B406" s="36"/>
      <c r="C406" s="23"/>
      <c r="D406" s="38"/>
      <c r="E406" s="23"/>
      <c r="F406" s="25"/>
      <c r="G406" s="25"/>
      <c r="H406" s="25"/>
      <c r="I406" s="11"/>
      <c r="J406" s="12"/>
      <c r="K406" s="12"/>
      <c r="L406" s="12"/>
      <c r="M406" s="12"/>
      <c r="N406" s="12"/>
      <c r="O406" s="524"/>
    </row>
    <row r="407" spans="1:15" x14ac:dyDescent="0.25">
      <c r="A407" s="35"/>
      <c r="B407" s="36"/>
      <c r="C407" s="23"/>
      <c r="D407" s="38"/>
      <c r="E407" s="23"/>
      <c r="F407" s="25"/>
      <c r="G407" s="25"/>
      <c r="H407" s="25"/>
      <c r="I407" s="11"/>
      <c r="J407" s="12"/>
      <c r="K407" s="12"/>
      <c r="L407" s="12"/>
      <c r="M407" s="12"/>
      <c r="N407" s="12"/>
      <c r="O407" s="524"/>
    </row>
    <row r="408" spans="1:15" x14ac:dyDescent="0.25">
      <c r="A408" s="35"/>
      <c r="B408" s="36"/>
      <c r="C408" s="23"/>
      <c r="D408" s="38"/>
      <c r="E408" s="23"/>
      <c r="F408" s="25"/>
      <c r="G408" s="25"/>
      <c r="H408" s="25"/>
      <c r="I408" s="11"/>
      <c r="J408" s="12"/>
      <c r="K408" s="12"/>
      <c r="L408" s="12"/>
      <c r="M408" s="12"/>
      <c r="N408" s="12"/>
      <c r="O408" s="524"/>
    </row>
    <row r="409" spans="1:15" x14ac:dyDescent="0.25">
      <c r="A409" s="35"/>
      <c r="B409" s="36"/>
      <c r="C409" s="23"/>
      <c r="D409" s="38"/>
      <c r="E409" s="23"/>
      <c r="F409" s="25"/>
      <c r="G409" s="25"/>
      <c r="H409" s="25"/>
      <c r="I409" s="11"/>
      <c r="J409" s="12"/>
      <c r="K409" s="12"/>
      <c r="L409" s="12"/>
      <c r="M409" s="12"/>
      <c r="N409" s="12"/>
      <c r="O409" s="524"/>
    </row>
    <row r="410" spans="1:15" x14ac:dyDescent="0.25">
      <c r="A410" s="35"/>
      <c r="B410" s="36"/>
      <c r="C410" s="23"/>
      <c r="D410" s="38"/>
      <c r="E410" s="23"/>
      <c r="F410" s="25"/>
      <c r="G410" s="25"/>
      <c r="H410" s="25"/>
      <c r="I410" s="11"/>
      <c r="J410" s="12"/>
      <c r="K410" s="12"/>
      <c r="L410" s="12"/>
      <c r="M410" s="12"/>
      <c r="N410" s="12"/>
      <c r="O410" s="524"/>
    </row>
    <row r="411" spans="1:15" x14ac:dyDescent="0.25">
      <c r="A411" s="35"/>
      <c r="B411" s="36"/>
      <c r="C411" s="23"/>
      <c r="D411" s="38"/>
      <c r="E411" s="23"/>
      <c r="F411" s="25"/>
      <c r="G411" s="25"/>
      <c r="H411" s="25"/>
      <c r="I411" s="11"/>
      <c r="J411" s="12"/>
      <c r="K411" s="12"/>
      <c r="L411" s="12"/>
      <c r="M411" s="12"/>
      <c r="N411" s="12"/>
      <c r="O411" s="524"/>
    </row>
    <row r="412" spans="1:15" x14ac:dyDescent="0.25">
      <c r="A412" s="30"/>
      <c r="B412" s="30"/>
      <c r="C412" s="31"/>
      <c r="D412" s="31"/>
      <c r="E412" s="31"/>
      <c r="F412" s="32"/>
      <c r="G412" s="32"/>
      <c r="H412" s="32"/>
      <c r="I412" s="11"/>
      <c r="J412" s="12"/>
      <c r="K412" s="12"/>
      <c r="L412" s="12"/>
      <c r="M412" s="12"/>
      <c r="N412" s="12"/>
      <c r="O412" s="524"/>
    </row>
    <row r="413" spans="1:15" x14ac:dyDescent="0.25">
      <c r="A413" s="35"/>
      <c r="B413" s="36"/>
      <c r="C413" s="23"/>
      <c r="D413" s="38"/>
      <c r="E413" s="23"/>
      <c r="F413" s="25"/>
      <c r="G413" s="25"/>
      <c r="H413" s="25"/>
      <c r="I413" s="11"/>
      <c r="J413" s="12"/>
      <c r="K413" s="12"/>
      <c r="L413" s="12"/>
      <c r="M413" s="12"/>
      <c r="N413" s="12"/>
      <c r="O413" s="524"/>
    </row>
    <row r="414" spans="1:15" x14ac:dyDescent="0.25">
      <c r="A414" s="35"/>
      <c r="B414" s="36"/>
      <c r="C414" s="23"/>
      <c r="D414" s="38"/>
      <c r="E414" s="23"/>
      <c r="F414" s="25"/>
      <c r="G414" s="25"/>
      <c r="H414" s="25"/>
      <c r="I414" s="11"/>
      <c r="J414" s="12"/>
      <c r="K414" s="12"/>
      <c r="L414" s="12"/>
      <c r="M414" s="12"/>
      <c r="N414" s="12"/>
      <c r="O414" s="524"/>
    </row>
    <row r="415" spans="1:15" x14ac:dyDescent="0.25">
      <c r="A415" s="35"/>
      <c r="B415" s="36"/>
      <c r="C415" s="23"/>
      <c r="D415" s="38"/>
      <c r="E415" s="23"/>
      <c r="F415" s="25"/>
      <c r="G415" s="25"/>
      <c r="H415" s="25"/>
      <c r="I415" s="11"/>
      <c r="J415" s="12"/>
      <c r="K415" s="12"/>
      <c r="L415" s="12"/>
      <c r="M415" s="12"/>
      <c r="N415" s="12"/>
      <c r="O415" s="524"/>
    </row>
    <row r="416" spans="1:15" x14ac:dyDescent="0.25">
      <c r="A416" s="35"/>
      <c r="B416" s="36"/>
      <c r="C416" s="23"/>
      <c r="D416" s="38"/>
      <c r="E416" s="23"/>
      <c r="F416" s="25"/>
      <c r="G416" s="25"/>
      <c r="H416" s="25"/>
      <c r="I416" s="11"/>
      <c r="J416" s="12"/>
      <c r="K416" s="12"/>
      <c r="L416" s="12"/>
      <c r="M416" s="12"/>
      <c r="N416" s="12"/>
      <c r="O416" s="524"/>
    </row>
    <row r="417" spans="1:15" x14ac:dyDescent="0.25">
      <c r="A417" s="35"/>
      <c r="B417" s="36"/>
      <c r="C417" s="23"/>
      <c r="D417" s="38"/>
      <c r="E417" s="23"/>
      <c r="F417" s="25"/>
      <c r="G417" s="25"/>
      <c r="H417" s="25"/>
      <c r="I417" s="11"/>
      <c r="J417" s="12"/>
      <c r="K417" s="12"/>
      <c r="L417" s="12"/>
      <c r="M417" s="12"/>
      <c r="N417" s="12"/>
      <c r="O417" s="524"/>
    </row>
    <row r="418" spans="1:15" x14ac:dyDescent="0.25">
      <c r="A418" s="35"/>
      <c r="B418" s="36"/>
      <c r="C418" s="23"/>
      <c r="D418" s="38"/>
      <c r="E418" s="23"/>
      <c r="F418" s="25"/>
      <c r="G418" s="25"/>
      <c r="H418" s="25"/>
      <c r="I418" s="11"/>
      <c r="J418" s="12"/>
      <c r="K418" s="12"/>
      <c r="L418" s="12"/>
      <c r="M418" s="12"/>
      <c r="N418" s="12"/>
      <c r="O418" s="524"/>
    </row>
    <row r="419" spans="1:15" x14ac:dyDescent="0.25">
      <c r="A419" s="35"/>
      <c r="B419" s="36"/>
      <c r="C419" s="23"/>
      <c r="D419" s="38"/>
      <c r="E419" s="23"/>
      <c r="F419" s="25"/>
      <c r="G419" s="25"/>
      <c r="H419" s="25"/>
      <c r="I419" s="11"/>
      <c r="J419" s="12"/>
      <c r="K419" s="12"/>
      <c r="L419" s="12"/>
      <c r="M419" s="12"/>
      <c r="N419" s="12"/>
      <c r="O419" s="524"/>
    </row>
    <row r="420" spans="1:15" x14ac:dyDescent="0.25">
      <c r="A420" s="35"/>
      <c r="B420" s="36"/>
      <c r="C420" s="23"/>
      <c r="D420" s="38"/>
      <c r="E420" s="23"/>
      <c r="F420" s="25"/>
      <c r="G420" s="25"/>
      <c r="H420" s="25"/>
      <c r="I420" s="11"/>
      <c r="J420" s="12"/>
      <c r="K420" s="12"/>
      <c r="L420" s="12"/>
      <c r="M420" s="12"/>
      <c r="N420" s="12"/>
      <c r="O420" s="524"/>
    </row>
    <row r="421" spans="1:15" x14ac:dyDescent="0.25">
      <c r="A421" s="35"/>
      <c r="B421" s="36"/>
      <c r="C421" s="23"/>
      <c r="D421" s="38"/>
      <c r="E421" s="23"/>
      <c r="F421" s="25"/>
      <c r="G421" s="25"/>
      <c r="H421" s="25"/>
      <c r="I421" s="11"/>
      <c r="J421" s="12"/>
      <c r="K421" s="12"/>
      <c r="L421" s="12"/>
      <c r="M421" s="12"/>
      <c r="N421" s="12"/>
      <c r="O421" s="524"/>
    </row>
    <row r="422" spans="1:15" x14ac:dyDescent="0.25">
      <c r="A422" s="30"/>
      <c r="B422" s="30"/>
      <c r="C422" s="31"/>
      <c r="D422" s="31"/>
      <c r="E422" s="31"/>
      <c r="F422" s="32"/>
      <c r="G422" s="32"/>
      <c r="H422" s="32"/>
      <c r="I422" s="11"/>
      <c r="J422" s="12"/>
      <c r="K422" s="12"/>
      <c r="L422" s="12"/>
      <c r="M422" s="12"/>
      <c r="N422" s="12"/>
      <c r="O422" s="524"/>
    </row>
    <row r="423" spans="1:15" x14ac:dyDescent="0.25">
      <c r="A423" s="35"/>
      <c r="B423" s="36"/>
      <c r="C423" s="23"/>
      <c r="D423" s="38"/>
      <c r="E423" s="23"/>
      <c r="F423" s="25"/>
      <c r="G423" s="25"/>
      <c r="H423" s="25"/>
      <c r="I423" s="11"/>
      <c r="J423" s="12"/>
      <c r="K423" s="12"/>
      <c r="L423" s="12"/>
      <c r="M423" s="12"/>
      <c r="N423" s="12"/>
      <c r="O423" s="524"/>
    </row>
    <row r="424" spans="1:15" x14ac:dyDescent="0.25">
      <c r="A424" s="35"/>
      <c r="B424" s="36"/>
      <c r="C424" s="23"/>
      <c r="D424" s="38"/>
      <c r="E424" s="23"/>
      <c r="F424" s="25"/>
      <c r="G424" s="25"/>
      <c r="H424" s="25"/>
      <c r="I424" s="11"/>
      <c r="J424" s="12"/>
      <c r="K424" s="12"/>
      <c r="L424" s="12"/>
      <c r="M424" s="12"/>
      <c r="N424" s="12"/>
      <c r="O424" s="524"/>
    </row>
    <row r="425" spans="1:15" x14ac:dyDescent="0.25">
      <c r="A425" s="35"/>
      <c r="B425" s="36"/>
      <c r="C425" s="23"/>
      <c r="D425" s="38"/>
      <c r="E425" s="23"/>
      <c r="F425" s="25"/>
      <c r="G425" s="25"/>
      <c r="H425" s="25"/>
      <c r="I425" s="11"/>
      <c r="J425" s="12"/>
      <c r="K425" s="12"/>
      <c r="L425" s="12"/>
      <c r="M425" s="12"/>
      <c r="N425" s="12"/>
      <c r="O425" s="524"/>
    </row>
    <row r="426" spans="1:15" x14ac:dyDescent="0.25">
      <c r="A426" s="35"/>
      <c r="B426" s="36"/>
      <c r="C426" s="23"/>
      <c r="D426" s="38"/>
      <c r="E426" s="23"/>
      <c r="F426" s="25"/>
      <c r="G426" s="25"/>
      <c r="H426" s="25"/>
      <c r="I426" s="11"/>
      <c r="J426" s="12"/>
      <c r="K426" s="12"/>
      <c r="L426" s="12"/>
      <c r="M426" s="12"/>
      <c r="N426" s="12"/>
      <c r="O426" s="524"/>
    </row>
    <row r="427" spans="1:15" x14ac:dyDescent="0.25">
      <c r="A427" s="35"/>
      <c r="B427" s="36"/>
      <c r="C427" s="23"/>
      <c r="D427" s="38"/>
      <c r="E427" s="23"/>
      <c r="F427" s="25"/>
      <c r="G427" s="25"/>
      <c r="H427" s="25"/>
      <c r="I427" s="11"/>
      <c r="J427" s="12"/>
      <c r="K427" s="12"/>
      <c r="L427" s="12"/>
      <c r="M427" s="12"/>
      <c r="N427" s="12"/>
      <c r="O427" s="524"/>
    </row>
    <row r="428" spans="1:15" x14ac:dyDescent="0.25">
      <c r="A428" s="35"/>
      <c r="B428" s="36"/>
      <c r="C428" s="23"/>
      <c r="D428" s="38"/>
      <c r="E428" s="23"/>
      <c r="F428" s="25"/>
      <c r="G428" s="25"/>
      <c r="H428" s="25"/>
      <c r="I428" s="11"/>
      <c r="J428" s="12"/>
      <c r="K428" s="12"/>
      <c r="L428" s="12"/>
      <c r="M428" s="12"/>
      <c r="N428" s="12"/>
      <c r="O428" s="524"/>
    </row>
    <row r="429" spans="1:15" x14ac:dyDescent="0.25">
      <c r="A429" s="35"/>
      <c r="B429" s="36"/>
      <c r="C429" s="23"/>
      <c r="D429" s="38"/>
      <c r="E429" s="23"/>
      <c r="F429" s="25"/>
      <c r="G429" s="25"/>
      <c r="H429" s="25"/>
      <c r="I429" s="11"/>
      <c r="J429" s="12"/>
      <c r="K429" s="12"/>
      <c r="L429" s="12"/>
      <c r="M429" s="12"/>
      <c r="N429" s="12"/>
      <c r="O429" s="524"/>
    </row>
    <row r="430" spans="1:15" x14ac:dyDescent="0.25">
      <c r="A430" s="35"/>
      <c r="B430" s="36"/>
      <c r="C430" s="23"/>
      <c r="D430" s="38"/>
      <c r="E430" s="23"/>
      <c r="F430" s="25"/>
      <c r="G430" s="25"/>
      <c r="H430" s="25"/>
      <c r="I430" s="11"/>
      <c r="J430" s="12"/>
      <c r="K430" s="12"/>
      <c r="L430" s="12"/>
      <c r="M430" s="12"/>
      <c r="N430" s="12"/>
      <c r="O430" s="524"/>
    </row>
    <row r="431" spans="1:15" x14ac:dyDescent="0.25">
      <c r="A431" s="35"/>
      <c r="B431" s="36"/>
      <c r="C431" s="23"/>
      <c r="D431" s="38"/>
      <c r="E431" s="23"/>
      <c r="F431" s="25"/>
      <c r="G431" s="25"/>
      <c r="H431" s="25"/>
      <c r="I431" s="11"/>
      <c r="J431" s="12"/>
      <c r="K431" s="12"/>
      <c r="L431" s="12"/>
      <c r="M431" s="12"/>
      <c r="N431" s="12"/>
      <c r="O431" s="524"/>
    </row>
    <row r="432" spans="1:15" x14ac:dyDescent="0.25">
      <c r="A432" s="30"/>
      <c r="B432" s="30"/>
      <c r="C432" s="31"/>
      <c r="D432" s="31"/>
      <c r="E432" s="31"/>
      <c r="F432" s="32"/>
      <c r="G432" s="32"/>
      <c r="H432" s="32"/>
      <c r="I432" s="11"/>
      <c r="J432" s="12"/>
      <c r="K432" s="12"/>
      <c r="L432" s="12"/>
      <c r="M432" s="12"/>
      <c r="N432" s="12"/>
      <c r="O432" s="524"/>
    </row>
    <row r="433" spans="1:15" x14ac:dyDescent="0.25">
      <c r="A433" s="35"/>
      <c r="B433" s="36"/>
      <c r="C433" s="23"/>
      <c r="D433" s="38"/>
      <c r="E433" s="23"/>
      <c r="F433" s="25"/>
      <c r="G433" s="25"/>
      <c r="H433" s="25"/>
      <c r="I433" s="11"/>
      <c r="J433" s="12"/>
      <c r="K433" s="12"/>
      <c r="L433" s="12"/>
      <c r="M433" s="12"/>
      <c r="N433" s="12"/>
      <c r="O433" s="524"/>
    </row>
    <row r="434" spans="1:15" x14ac:dyDescent="0.25">
      <c r="A434" s="35"/>
      <c r="B434" s="36"/>
      <c r="C434" s="23"/>
      <c r="D434" s="38"/>
      <c r="E434" s="23"/>
      <c r="F434" s="25"/>
      <c r="G434" s="25"/>
      <c r="H434" s="25"/>
      <c r="I434" s="11"/>
      <c r="J434" s="12"/>
      <c r="K434" s="12"/>
      <c r="L434" s="12"/>
      <c r="M434" s="12"/>
      <c r="N434" s="12"/>
      <c r="O434" s="524"/>
    </row>
    <row r="435" spans="1:15" x14ac:dyDescent="0.25">
      <c r="A435" s="35"/>
      <c r="B435" s="36"/>
      <c r="C435" s="23"/>
      <c r="D435" s="38"/>
      <c r="E435" s="23"/>
      <c r="F435" s="25"/>
      <c r="G435" s="25"/>
      <c r="H435" s="25"/>
      <c r="I435" s="11"/>
      <c r="J435" s="12"/>
      <c r="K435" s="12"/>
      <c r="L435" s="12"/>
      <c r="M435" s="12"/>
      <c r="N435" s="12"/>
      <c r="O435" s="524"/>
    </row>
    <row r="436" spans="1:15" x14ac:dyDescent="0.25">
      <c r="A436" s="35"/>
      <c r="B436" s="36"/>
      <c r="C436" s="23"/>
      <c r="D436" s="38"/>
      <c r="E436" s="23"/>
      <c r="F436" s="25"/>
      <c r="G436" s="25"/>
      <c r="H436" s="25"/>
      <c r="I436" s="11"/>
      <c r="J436" s="12"/>
      <c r="K436" s="12"/>
      <c r="L436" s="12"/>
      <c r="M436" s="12"/>
      <c r="N436" s="12"/>
      <c r="O436" s="524"/>
    </row>
    <row r="437" spans="1:15" x14ac:dyDescent="0.25">
      <c r="A437" s="35"/>
      <c r="B437" s="36"/>
      <c r="C437" s="23"/>
      <c r="D437" s="38"/>
      <c r="E437" s="23"/>
      <c r="F437" s="25"/>
      <c r="G437" s="25"/>
      <c r="H437" s="25"/>
      <c r="I437" s="11"/>
      <c r="J437" s="12"/>
      <c r="K437" s="12"/>
      <c r="L437" s="12"/>
      <c r="M437" s="12"/>
      <c r="N437" s="12"/>
      <c r="O437" s="524"/>
    </row>
    <row r="438" spans="1:15" x14ac:dyDescent="0.25">
      <c r="A438" s="35"/>
      <c r="B438" s="36"/>
      <c r="C438" s="23"/>
      <c r="D438" s="38"/>
      <c r="E438" s="23"/>
      <c r="F438" s="25"/>
      <c r="G438" s="25"/>
      <c r="H438" s="25"/>
      <c r="I438" s="11"/>
      <c r="J438" s="12"/>
      <c r="K438" s="12"/>
      <c r="L438" s="12"/>
      <c r="M438" s="12"/>
      <c r="N438" s="12"/>
      <c r="O438" s="524"/>
    </row>
    <row r="439" spans="1:15" x14ac:dyDescent="0.25">
      <c r="A439" s="35"/>
      <c r="B439" s="36"/>
      <c r="C439" s="23"/>
      <c r="D439" s="38"/>
      <c r="E439" s="23"/>
      <c r="F439" s="25"/>
      <c r="G439" s="25"/>
      <c r="H439" s="25"/>
      <c r="I439" s="11"/>
      <c r="J439" s="12"/>
      <c r="K439" s="12"/>
      <c r="L439" s="12"/>
      <c r="M439" s="12"/>
      <c r="N439" s="12"/>
      <c r="O439" s="524"/>
    </row>
    <row r="440" spans="1:15" x14ac:dyDescent="0.25">
      <c r="A440" s="35"/>
      <c r="B440" s="36"/>
      <c r="C440" s="23"/>
      <c r="D440" s="38"/>
      <c r="E440" s="23"/>
      <c r="F440" s="25"/>
      <c r="G440" s="25"/>
      <c r="H440" s="25"/>
      <c r="I440" s="11"/>
      <c r="J440" s="12"/>
      <c r="K440" s="12"/>
      <c r="L440" s="12"/>
      <c r="M440" s="12"/>
      <c r="N440" s="12"/>
      <c r="O440" s="524"/>
    </row>
    <row r="441" spans="1:15" x14ac:dyDescent="0.25">
      <c r="A441" s="35"/>
      <c r="B441" s="36"/>
      <c r="C441" s="23"/>
      <c r="D441" s="38"/>
      <c r="E441" s="23"/>
      <c r="F441" s="25"/>
      <c r="G441" s="25"/>
      <c r="H441" s="25"/>
      <c r="I441" s="11"/>
      <c r="J441" s="12"/>
      <c r="K441" s="12"/>
      <c r="L441" s="12"/>
      <c r="M441" s="12"/>
      <c r="N441" s="12"/>
      <c r="O441" s="524"/>
    </row>
    <row r="442" spans="1:15" x14ac:dyDescent="0.25">
      <c r="A442" s="30"/>
      <c r="B442" s="30"/>
      <c r="C442" s="31"/>
      <c r="D442" s="31"/>
      <c r="E442" s="31"/>
      <c r="F442" s="32"/>
      <c r="G442" s="32"/>
      <c r="H442" s="32"/>
      <c r="I442" s="11"/>
      <c r="J442" s="12"/>
      <c r="K442" s="12"/>
      <c r="L442" s="12"/>
      <c r="M442" s="12"/>
      <c r="N442" s="12"/>
      <c r="O442" s="524"/>
    </row>
    <row r="443" spans="1:15" x14ac:dyDescent="0.25">
      <c r="A443" s="35"/>
      <c r="B443" s="36"/>
      <c r="C443" s="23"/>
      <c r="D443" s="38"/>
      <c r="E443" s="23"/>
      <c r="F443" s="25"/>
      <c r="G443" s="25"/>
      <c r="H443" s="25"/>
      <c r="I443" s="11"/>
      <c r="J443" s="12"/>
      <c r="K443" s="12"/>
      <c r="L443" s="12"/>
      <c r="M443" s="12"/>
      <c r="N443" s="12"/>
      <c r="O443" s="524"/>
    </row>
    <row r="444" spans="1:15" x14ac:dyDescent="0.25">
      <c r="A444" s="35"/>
      <c r="B444" s="36"/>
      <c r="C444" s="23"/>
      <c r="D444" s="38"/>
      <c r="E444" s="23"/>
      <c r="F444" s="25"/>
      <c r="G444" s="25"/>
      <c r="H444" s="25"/>
      <c r="I444" s="11"/>
      <c r="J444" s="12"/>
      <c r="K444" s="12"/>
      <c r="L444" s="12"/>
      <c r="M444" s="12"/>
      <c r="N444" s="12"/>
      <c r="O444" s="524"/>
    </row>
    <row r="445" spans="1:15" x14ac:dyDescent="0.25">
      <c r="A445" s="35"/>
      <c r="B445" s="36"/>
      <c r="C445" s="23"/>
      <c r="D445" s="38"/>
      <c r="E445" s="23"/>
      <c r="F445" s="25"/>
      <c r="G445" s="25"/>
      <c r="H445" s="25"/>
      <c r="I445" s="11"/>
      <c r="J445" s="12"/>
      <c r="K445" s="12"/>
      <c r="L445" s="12"/>
      <c r="M445" s="12"/>
      <c r="N445" s="12"/>
      <c r="O445" s="524"/>
    </row>
    <row r="446" spans="1:15" x14ac:dyDescent="0.25">
      <c r="A446" s="35"/>
      <c r="B446" s="36"/>
      <c r="C446" s="23"/>
      <c r="D446" s="38"/>
      <c r="E446" s="23"/>
      <c r="F446" s="25"/>
      <c r="G446" s="25"/>
      <c r="H446" s="25"/>
      <c r="I446" s="11"/>
      <c r="J446" s="12"/>
      <c r="K446" s="12"/>
      <c r="L446" s="12"/>
      <c r="M446" s="12"/>
      <c r="N446" s="12"/>
      <c r="O446" s="524"/>
    </row>
    <row r="447" spans="1:15" x14ac:dyDescent="0.25">
      <c r="A447" s="35"/>
      <c r="B447" s="36"/>
      <c r="C447" s="23"/>
      <c r="D447" s="38"/>
      <c r="E447" s="23"/>
      <c r="F447" s="25"/>
      <c r="G447" s="25"/>
      <c r="H447" s="25"/>
      <c r="I447" s="11"/>
      <c r="J447" s="12"/>
      <c r="K447" s="12"/>
      <c r="L447" s="12"/>
      <c r="M447" s="12"/>
      <c r="N447" s="12"/>
      <c r="O447" s="524"/>
    </row>
    <row r="448" spans="1:15" x14ac:dyDescent="0.25">
      <c r="A448" s="35"/>
      <c r="B448" s="36"/>
      <c r="C448" s="23"/>
      <c r="D448" s="38"/>
      <c r="E448" s="23"/>
      <c r="F448" s="25"/>
      <c r="G448" s="25"/>
      <c r="H448" s="25"/>
      <c r="I448" s="11"/>
      <c r="J448" s="12"/>
      <c r="K448" s="12"/>
      <c r="L448" s="12"/>
      <c r="M448" s="12"/>
      <c r="N448" s="12"/>
      <c r="O448" s="524"/>
    </row>
    <row r="449" spans="1:15" x14ac:dyDescent="0.25">
      <c r="A449" s="35"/>
      <c r="B449" s="36"/>
      <c r="C449" s="23"/>
      <c r="D449" s="38"/>
      <c r="E449" s="23"/>
      <c r="F449" s="25"/>
      <c r="G449" s="25"/>
      <c r="H449" s="25"/>
      <c r="I449" s="11"/>
      <c r="J449" s="12"/>
      <c r="K449" s="12"/>
      <c r="L449" s="12"/>
      <c r="M449" s="12"/>
      <c r="N449" s="12"/>
      <c r="O449" s="524"/>
    </row>
    <row r="450" spans="1:15" x14ac:dyDescent="0.25">
      <c r="A450" s="35"/>
      <c r="B450" s="36"/>
      <c r="C450" s="23"/>
      <c r="D450" s="38"/>
      <c r="E450" s="23"/>
      <c r="F450" s="25"/>
      <c r="G450" s="25"/>
      <c r="H450" s="25"/>
      <c r="I450" s="11"/>
      <c r="J450" s="12"/>
      <c r="K450" s="12"/>
      <c r="L450" s="12"/>
      <c r="M450" s="12"/>
      <c r="N450" s="12"/>
      <c r="O450" s="524"/>
    </row>
    <row r="451" spans="1:15" x14ac:dyDescent="0.25">
      <c r="A451" s="35"/>
      <c r="B451" s="36"/>
      <c r="C451" s="23"/>
      <c r="D451" s="38"/>
      <c r="E451" s="23"/>
      <c r="F451" s="25"/>
      <c r="G451" s="25"/>
      <c r="H451" s="25"/>
      <c r="I451" s="11"/>
      <c r="J451" s="12"/>
      <c r="K451" s="12"/>
      <c r="L451" s="12"/>
      <c r="M451" s="12"/>
      <c r="N451" s="12"/>
      <c r="O451" s="524"/>
    </row>
    <row r="452" spans="1:15" x14ac:dyDescent="0.25">
      <c r="A452" s="30"/>
      <c r="B452" s="30"/>
      <c r="C452" s="31"/>
      <c r="D452" s="31"/>
      <c r="E452" s="31"/>
      <c r="F452" s="32"/>
      <c r="G452" s="32"/>
      <c r="H452" s="32"/>
      <c r="I452" s="11"/>
      <c r="J452" s="12"/>
      <c r="K452" s="12"/>
      <c r="L452" s="12"/>
      <c r="M452" s="12"/>
      <c r="N452" s="12"/>
      <c r="O452" s="524"/>
    </row>
    <row r="453" spans="1:15" x14ac:dyDescent="0.25">
      <c r="A453" s="35"/>
      <c r="B453" s="36"/>
      <c r="C453" s="23"/>
      <c r="D453" s="38"/>
      <c r="E453" s="23"/>
      <c r="F453" s="25"/>
      <c r="G453" s="25"/>
      <c r="H453" s="25"/>
      <c r="I453" s="11"/>
      <c r="J453" s="12"/>
      <c r="K453" s="12"/>
      <c r="L453" s="12"/>
      <c r="M453" s="12"/>
      <c r="N453" s="12"/>
      <c r="O453" s="524"/>
    </row>
    <row r="454" spans="1:15" x14ac:dyDescent="0.25">
      <c r="A454" s="35"/>
      <c r="B454" s="36"/>
      <c r="C454" s="23"/>
      <c r="D454" s="38"/>
      <c r="E454" s="23"/>
      <c r="F454" s="25"/>
      <c r="G454" s="25"/>
      <c r="H454" s="25"/>
      <c r="I454" s="11"/>
      <c r="J454" s="12"/>
      <c r="K454" s="12"/>
      <c r="L454" s="12"/>
      <c r="M454" s="12"/>
      <c r="N454" s="12"/>
      <c r="O454" s="524"/>
    </row>
    <row r="455" spans="1:15" x14ac:dyDescent="0.25">
      <c r="A455" s="35"/>
      <c r="B455" s="36"/>
      <c r="C455" s="23"/>
      <c r="D455" s="38"/>
      <c r="E455" s="23"/>
      <c r="F455" s="25"/>
      <c r="G455" s="25"/>
      <c r="H455" s="25"/>
      <c r="I455" s="11"/>
      <c r="J455" s="12"/>
      <c r="K455" s="12"/>
      <c r="L455" s="12"/>
      <c r="M455" s="12"/>
      <c r="N455" s="12"/>
      <c r="O455" s="524"/>
    </row>
    <row r="456" spans="1:15" x14ac:dyDescent="0.25">
      <c r="A456" s="35"/>
      <c r="B456" s="36"/>
      <c r="C456" s="23"/>
      <c r="D456" s="38"/>
      <c r="E456" s="23"/>
      <c r="F456" s="25"/>
      <c r="G456" s="25"/>
      <c r="H456" s="25"/>
      <c r="I456" s="11"/>
      <c r="J456" s="12"/>
      <c r="K456" s="12"/>
      <c r="L456" s="12"/>
      <c r="M456" s="12"/>
      <c r="N456" s="12"/>
      <c r="O456" s="524"/>
    </row>
    <row r="457" spans="1:15" x14ac:dyDescent="0.25">
      <c r="A457" s="35"/>
      <c r="B457" s="36"/>
      <c r="C457" s="23"/>
      <c r="D457" s="38"/>
      <c r="E457" s="23"/>
      <c r="F457" s="25"/>
      <c r="G457" s="25"/>
      <c r="H457" s="25"/>
      <c r="I457" s="11"/>
      <c r="J457" s="12"/>
      <c r="K457" s="12"/>
      <c r="L457" s="12"/>
      <c r="M457" s="12"/>
      <c r="N457" s="12"/>
      <c r="O457" s="524"/>
    </row>
    <row r="458" spans="1:15" x14ac:dyDescent="0.25">
      <c r="A458" s="35"/>
      <c r="B458" s="36"/>
      <c r="C458" s="23"/>
      <c r="D458" s="38"/>
      <c r="E458" s="23"/>
      <c r="F458" s="25"/>
      <c r="G458" s="25"/>
      <c r="H458" s="25"/>
      <c r="I458" s="11"/>
      <c r="J458" s="12"/>
      <c r="K458" s="12"/>
      <c r="L458" s="12"/>
      <c r="M458" s="12"/>
      <c r="N458" s="12"/>
      <c r="O458" s="524"/>
    </row>
    <row r="459" spans="1:15" x14ac:dyDescent="0.25">
      <c r="A459" s="35"/>
      <c r="B459" s="36"/>
      <c r="C459" s="23"/>
      <c r="D459" s="38"/>
      <c r="E459" s="23"/>
      <c r="F459" s="25"/>
      <c r="G459" s="25"/>
      <c r="H459" s="25"/>
      <c r="I459" s="11"/>
      <c r="J459" s="12"/>
      <c r="K459" s="12"/>
      <c r="L459" s="12"/>
      <c r="M459" s="12"/>
      <c r="N459" s="12"/>
      <c r="O459" s="524"/>
    </row>
    <row r="460" spans="1:15" x14ac:dyDescent="0.25">
      <c r="A460" s="35"/>
      <c r="B460" s="36"/>
      <c r="C460" s="23"/>
      <c r="D460" s="38"/>
      <c r="E460" s="23"/>
      <c r="F460" s="25"/>
      <c r="G460" s="25"/>
      <c r="H460" s="25"/>
      <c r="I460" s="11"/>
      <c r="J460" s="12"/>
      <c r="K460" s="12"/>
      <c r="L460" s="12"/>
      <c r="M460" s="12"/>
      <c r="N460" s="12"/>
      <c r="O460" s="524"/>
    </row>
    <row r="461" spans="1:15" x14ac:dyDescent="0.25">
      <c r="A461" s="35"/>
      <c r="B461" s="36"/>
      <c r="C461" s="23"/>
      <c r="D461" s="38"/>
      <c r="E461" s="23"/>
      <c r="F461" s="25"/>
      <c r="G461" s="25"/>
      <c r="H461" s="25"/>
      <c r="I461" s="11"/>
      <c r="J461" s="12"/>
      <c r="K461" s="12"/>
      <c r="L461" s="12"/>
      <c r="M461" s="12"/>
      <c r="N461" s="12"/>
      <c r="O461" s="524"/>
    </row>
    <row r="462" spans="1:15" x14ac:dyDescent="0.25">
      <c r="A462" s="30"/>
      <c r="B462" s="30"/>
      <c r="C462" s="31"/>
      <c r="D462" s="31"/>
      <c r="E462" s="31"/>
      <c r="F462" s="32"/>
      <c r="G462" s="32"/>
      <c r="H462" s="32"/>
      <c r="I462" s="11"/>
      <c r="J462" s="12"/>
      <c r="K462" s="12"/>
      <c r="L462" s="12"/>
      <c r="M462" s="12"/>
      <c r="N462" s="12"/>
      <c r="O462" s="524"/>
    </row>
    <row r="463" spans="1:15" x14ac:dyDescent="0.25">
      <c r="A463" s="35"/>
      <c r="B463" s="36"/>
      <c r="C463" s="23"/>
      <c r="D463" s="38"/>
      <c r="E463" s="23"/>
      <c r="F463" s="25"/>
      <c r="G463" s="25"/>
      <c r="H463" s="25"/>
      <c r="I463" s="11"/>
      <c r="J463" s="12"/>
      <c r="K463" s="12"/>
      <c r="L463" s="12"/>
      <c r="M463" s="12"/>
      <c r="N463" s="12"/>
      <c r="O463" s="524"/>
    </row>
    <row r="464" spans="1:15" x14ac:dyDescent="0.25">
      <c r="A464" s="35"/>
      <c r="B464" s="36"/>
      <c r="C464" s="23"/>
      <c r="D464" s="38"/>
      <c r="E464" s="23"/>
      <c r="F464" s="25"/>
      <c r="G464" s="25"/>
      <c r="H464" s="25"/>
      <c r="I464" s="11"/>
      <c r="J464" s="12"/>
      <c r="K464" s="12"/>
      <c r="L464" s="12"/>
      <c r="M464" s="12"/>
      <c r="N464" s="12"/>
      <c r="O464" s="524"/>
    </row>
    <row r="465" spans="1:15" x14ac:dyDescent="0.25">
      <c r="A465" s="35"/>
      <c r="B465" s="36"/>
      <c r="C465" s="23"/>
      <c r="D465" s="38"/>
      <c r="E465" s="23"/>
      <c r="F465" s="25"/>
      <c r="G465" s="25"/>
      <c r="H465" s="25"/>
      <c r="I465" s="11"/>
      <c r="J465" s="12"/>
      <c r="K465" s="12"/>
      <c r="L465" s="12"/>
      <c r="M465" s="12"/>
      <c r="N465" s="12"/>
      <c r="O465" s="524"/>
    </row>
    <row r="466" spans="1:15" x14ac:dyDescent="0.25">
      <c r="A466" s="35"/>
      <c r="B466" s="36"/>
      <c r="C466" s="23"/>
      <c r="D466" s="38"/>
      <c r="E466" s="23"/>
      <c r="F466" s="25"/>
      <c r="G466" s="25"/>
      <c r="H466" s="25"/>
      <c r="I466" s="11"/>
      <c r="J466" s="12"/>
      <c r="K466" s="12"/>
      <c r="L466" s="12"/>
      <c r="M466" s="12"/>
      <c r="N466" s="12"/>
      <c r="O466" s="524"/>
    </row>
    <row r="467" spans="1:15" x14ac:dyDescent="0.25">
      <c r="A467" s="35"/>
      <c r="B467" s="36"/>
      <c r="C467" s="23"/>
      <c r="D467" s="38"/>
      <c r="E467" s="23"/>
      <c r="F467" s="25"/>
      <c r="G467" s="25"/>
      <c r="H467" s="25"/>
      <c r="I467" s="11"/>
      <c r="J467" s="12"/>
      <c r="K467" s="12"/>
      <c r="L467" s="12"/>
      <c r="M467" s="12"/>
      <c r="N467" s="12"/>
      <c r="O467" s="524"/>
    </row>
    <row r="468" spans="1:15" x14ac:dyDescent="0.25">
      <c r="A468" s="35"/>
      <c r="B468" s="36"/>
      <c r="C468" s="23"/>
      <c r="D468" s="38"/>
      <c r="E468" s="23"/>
      <c r="F468" s="25"/>
      <c r="G468" s="25"/>
      <c r="H468" s="25"/>
      <c r="I468" s="11"/>
      <c r="J468" s="12"/>
      <c r="K468" s="12"/>
      <c r="L468" s="12"/>
      <c r="M468" s="12"/>
      <c r="N468" s="12"/>
      <c r="O468" s="524"/>
    </row>
    <row r="469" spans="1:15" x14ac:dyDescent="0.25">
      <c r="A469" s="35"/>
      <c r="B469" s="36"/>
      <c r="C469" s="23"/>
      <c r="D469" s="38"/>
      <c r="E469" s="23"/>
      <c r="F469" s="25"/>
      <c r="G469" s="25"/>
      <c r="H469" s="25"/>
      <c r="I469" s="11"/>
      <c r="J469" s="12"/>
      <c r="K469" s="12"/>
      <c r="L469" s="12"/>
      <c r="M469" s="12"/>
      <c r="N469" s="12"/>
      <c r="O469" s="524"/>
    </row>
    <row r="470" spans="1:15" x14ac:dyDescent="0.25">
      <c r="A470" s="35"/>
      <c r="B470" s="36"/>
      <c r="C470" s="23"/>
      <c r="D470" s="38"/>
      <c r="E470" s="23"/>
      <c r="F470" s="25"/>
      <c r="G470" s="25"/>
      <c r="H470" s="25"/>
      <c r="I470" s="11"/>
      <c r="J470" s="12"/>
      <c r="K470" s="12"/>
      <c r="L470" s="12"/>
      <c r="M470" s="12"/>
      <c r="N470" s="12"/>
      <c r="O470" s="524"/>
    </row>
    <row r="471" spans="1:15" x14ac:dyDescent="0.25">
      <c r="A471" s="35"/>
      <c r="B471" s="36"/>
      <c r="C471" s="23"/>
      <c r="D471" s="38"/>
      <c r="E471" s="23"/>
      <c r="F471" s="25"/>
      <c r="G471" s="25"/>
      <c r="H471" s="25"/>
      <c r="I471" s="11"/>
      <c r="J471" s="12"/>
      <c r="K471" s="12"/>
      <c r="L471" s="12"/>
      <c r="M471" s="12"/>
      <c r="N471" s="12"/>
      <c r="O471" s="524"/>
    </row>
    <row r="472" spans="1:15" x14ac:dyDescent="0.25">
      <c r="A472" s="30"/>
      <c r="B472" s="30"/>
      <c r="C472" s="31"/>
      <c r="D472" s="31"/>
      <c r="E472" s="31"/>
      <c r="F472" s="32"/>
      <c r="G472" s="32"/>
      <c r="H472" s="32"/>
      <c r="I472" s="11"/>
      <c r="J472" s="12"/>
      <c r="K472" s="12"/>
      <c r="L472" s="12"/>
      <c r="M472" s="12"/>
      <c r="N472" s="12"/>
      <c r="O472" s="524"/>
    </row>
    <row r="473" spans="1:15" x14ac:dyDescent="0.25">
      <c r="A473" s="35"/>
      <c r="B473" s="36"/>
      <c r="C473" s="23"/>
      <c r="D473" s="38"/>
      <c r="E473" s="23"/>
      <c r="F473" s="25"/>
      <c r="G473" s="25"/>
      <c r="H473" s="25"/>
      <c r="I473" s="11"/>
      <c r="J473" s="12"/>
      <c r="K473" s="12"/>
      <c r="L473" s="12"/>
      <c r="M473" s="12"/>
      <c r="N473" s="12"/>
      <c r="O473" s="524"/>
    </row>
    <row r="474" spans="1:15" x14ac:dyDescent="0.25">
      <c r="A474" s="35"/>
      <c r="B474" s="36"/>
      <c r="C474" s="23"/>
      <c r="D474" s="38"/>
      <c r="E474" s="23"/>
      <c r="F474" s="25"/>
      <c r="G474" s="25"/>
      <c r="H474" s="25"/>
      <c r="I474" s="11"/>
      <c r="J474" s="12"/>
      <c r="K474" s="12"/>
      <c r="L474" s="12"/>
      <c r="M474" s="12"/>
      <c r="N474" s="12"/>
      <c r="O474" s="524"/>
    </row>
    <row r="475" spans="1:15" x14ac:dyDescent="0.25">
      <c r="A475" s="35"/>
      <c r="B475" s="36"/>
      <c r="C475" s="23"/>
      <c r="D475" s="38"/>
      <c r="E475" s="23"/>
      <c r="F475" s="25"/>
      <c r="G475" s="25"/>
      <c r="H475" s="25"/>
      <c r="I475" s="11"/>
      <c r="J475" s="12"/>
      <c r="K475" s="12"/>
      <c r="L475" s="12"/>
      <c r="M475" s="12"/>
      <c r="N475" s="12"/>
      <c r="O475" s="524"/>
    </row>
    <row r="476" spans="1:15" x14ac:dyDescent="0.25">
      <c r="A476" s="35"/>
      <c r="B476" s="36"/>
      <c r="C476" s="23"/>
      <c r="D476" s="38"/>
      <c r="E476" s="23"/>
      <c r="F476" s="25"/>
      <c r="G476" s="25"/>
      <c r="H476" s="25"/>
      <c r="I476" s="11"/>
      <c r="J476" s="12"/>
      <c r="K476" s="12"/>
      <c r="L476" s="12"/>
      <c r="M476" s="12"/>
      <c r="N476" s="12"/>
      <c r="O476" s="524"/>
    </row>
    <row r="477" spans="1:15" x14ac:dyDescent="0.25">
      <c r="A477" s="35"/>
      <c r="B477" s="36"/>
      <c r="C477" s="23"/>
      <c r="D477" s="38"/>
      <c r="E477" s="23"/>
      <c r="F477" s="25"/>
      <c r="G477" s="25"/>
      <c r="H477" s="25"/>
      <c r="I477" s="11"/>
      <c r="J477" s="12"/>
      <c r="K477" s="12"/>
      <c r="L477" s="12"/>
      <c r="M477" s="12"/>
      <c r="N477" s="12"/>
      <c r="O477" s="524"/>
    </row>
    <row r="478" spans="1:15" x14ac:dyDescent="0.25">
      <c r="A478" s="35"/>
      <c r="B478" s="36"/>
      <c r="C478" s="23"/>
      <c r="D478" s="38"/>
      <c r="E478" s="23"/>
      <c r="F478" s="25"/>
      <c r="G478" s="25"/>
      <c r="H478" s="25"/>
      <c r="I478" s="11"/>
      <c r="J478" s="12"/>
      <c r="K478" s="12"/>
      <c r="L478" s="12"/>
      <c r="M478" s="12"/>
      <c r="N478" s="12"/>
      <c r="O478" s="524"/>
    </row>
    <row r="479" spans="1:15" x14ac:dyDescent="0.25">
      <c r="A479" s="35"/>
      <c r="B479" s="36"/>
      <c r="C479" s="23"/>
      <c r="D479" s="38"/>
      <c r="E479" s="23"/>
      <c r="F479" s="25"/>
      <c r="G479" s="25"/>
      <c r="H479" s="25"/>
      <c r="I479" s="11"/>
      <c r="J479" s="12"/>
      <c r="K479" s="12"/>
      <c r="L479" s="12"/>
      <c r="M479" s="12"/>
      <c r="N479" s="12"/>
      <c r="O479" s="524"/>
    </row>
    <row r="480" spans="1:15" x14ac:dyDescent="0.25">
      <c r="A480" s="35"/>
      <c r="B480" s="36"/>
      <c r="C480" s="23"/>
      <c r="D480" s="38"/>
      <c r="E480" s="23"/>
      <c r="F480" s="25"/>
      <c r="G480" s="25"/>
      <c r="H480" s="25"/>
      <c r="I480" s="11"/>
      <c r="J480" s="12"/>
      <c r="K480" s="12"/>
      <c r="L480" s="12"/>
      <c r="M480" s="12"/>
      <c r="N480" s="12"/>
      <c r="O480" s="524"/>
    </row>
    <row r="481" spans="1:15" x14ac:dyDescent="0.25">
      <c r="A481" s="35"/>
      <c r="B481" s="36"/>
      <c r="C481" s="23"/>
      <c r="D481" s="38"/>
      <c r="E481" s="23"/>
      <c r="F481" s="25"/>
      <c r="G481" s="25"/>
      <c r="H481" s="25"/>
      <c r="I481" s="11"/>
      <c r="J481" s="12"/>
      <c r="K481" s="12"/>
      <c r="L481" s="12"/>
      <c r="M481" s="12"/>
      <c r="N481" s="12"/>
      <c r="O481" s="524"/>
    </row>
    <row r="482" spans="1:15" x14ac:dyDescent="0.25">
      <c r="A482" s="30"/>
      <c r="B482" s="30"/>
      <c r="C482" s="31"/>
      <c r="D482" s="31"/>
      <c r="E482" s="31"/>
      <c r="F482" s="32"/>
      <c r="G482" s="32"/>
      <c r="H482" s="32"/>
      <c r="I482" s="11"/>
      <c r="J482" s="12"/>
      <c r="K482" s="12"/>
      <c r="L482" s="12"/>
      <c r="M482" s="12"/>
      <c r="N482" s="12"/>
      <c r="O482" s="524"/>
    </row>
    <row r="483" spans="1:15" x14ac:dyDescent="0.25">
      <c r="A483" s="43"/>
      <c r="B483" s="44"/>
      <c r="C483" s="45"/>
      <c r="D483" s="45"/>
      <c r="E483" s="45"/>
      <c r="F483" s="46"/>
      <c r="G483" s="47"/>
      <c r="H483" s="47"/>
      <c r="I483" s="11"/>
      <c r="J483" s="12"/>
      <c r="K483" s="12"/>
      <c r="L483" s="12"/>
      <c r="M483" s="12"/>
      <c r="N483" s="12"/>
      <c r="O483" s="524"/>
    </row>
    <row r="484" spans="1:15" x14ac:dyDescent="0.25">
      <c r="A484" s="17"/>
      <c r="B484" s="37"/>
      <c r="C484" s="19"/>
      <c r="D484" s="20"/>
      <c r="E484" s="19"/>
      <c r="F484" s="21"/>
      <c r="G484" s="21"/>
      <c r="H484" s="21"/>
      <c r="I484" s="11"/>
      <c r="J484" s="12"/>
      <c r="K484" s="12"/>
      <c r="L484" s="12"/>
      <c r="M484" s="12"/>
      <c r="N484" s="12"/>
      <c r="O484" s="524"/>
    </row>
    <row r="485" spans="1:15" x14ac:dyDescent="0.25">
      <c r="A485" s="35"/>
      <c r="B485" s="36"/>
      <c r="C485" s="23"/>
      <c r="D485" s="38"/>
      <c r="E485" s="23"/>
      <c r="F485" s="38"/>
      <c r="G485" s="25"/>
      <c r="H485" s="25"/>
      <c r="I485" s="11"/>
      <c r="J485" s="12"/>
      <c r="K485" s="12"/>
      <c r="L485" s="12"/>
      <c r="M485" s="12"/>
      <c r="N485" s="12"/>
      <c r="O485" s="524"/>
    </row>
    <row r="486" spans="1:15" x14ac:dyDescent="0.25">
      <c r="A486" s="35"/>
      <c r="B486" s="36"/>
      <c r="C486" s="23"/>
      <c r="D486" s="38"/>
      <c r="E486" s="23"/>
      <c r="F486" s="38"/>
      <c r="G486" s="25"/>
      <c r="H486" s="25"/>
      <c r="I486" s="11"/>
      <c r="J486" s="12"/>
      <c r="K486" s="12"/>
      <c r="L486" s="12"/>
      <c r="M486" s="12"/>
      <c r="N486" s="12"/>
      <c r="O486" s="524"/>
    </row>
    <row r="487" spans="1:15" x14ac:dyDescent="0.25">
      <c r="A487" s="35"/>
      <c r="B487" s="36"/>
      <c r="C487" s="23"/>
      <c r="D487" s="38"/>
      <c r="E487" s="23"/>
      <c r="F487" s="38"/>
      <c r="G487" s="25"/>
      <c r="H487" s="25"/>
      <c r="I487" s="11"/>
      <c r="J487" s="12"/>
      <c r="K487" s="12"/>
      <c r="L487" s="12"/>
      <c r="M487" s="12"/>
      <c r="N487" s="12"/>
      <c r="O487" s="524"/>
    </row>
    <row r="488" spans="1:15" x14ac:dyDescent="0.25">
      <c r="A488" s="35"/>
      <c r="B488" s="36"/>
      <c r="C488" s="23"/>
      <c r="D488" s="38"/>
      <c r="E488" s="23"/>
      <c r="F488" s="38"/>
      <c r="G488" s="25"/>
      <c r="H488" s="25"/>
      <c r="I488" s="11"/>
      <c r="J488" s="12"/>
      <c r="K488" s="12"/>
      <c r="L488" s="12"/>
      <c r="M488" s="12"/>
      <c r="N488" s="12"/>
      <c r="O488" s="524"/>
    </row>
    <row r="489" spans="1:15" x14ac:dyDescent="0.25">
      <c r="A489" s="30"/>
      <c r="B489" s="30"/>
      <c r="C489" s="31"/>
      <c r="D489" s="31"/>
      <c r="E489" s="31"/>
      <c r="F489" s="32"/>
      <c r="G489" s="32"/>
      <c r="H489" s="32"/>
      <c r="I489" s="11"/>
      <c r="J489" s="12"/>
      <c r="K489" s="12"/>
      <c r="L489" s="12"/>
      <c r="M489" s="12"/>
      <c r="N489" s="12"/>
      <c r="O489" s="524"/>
    </row>
    <row r="490" spans="1:15" x14ac:dyDescent="0.25">
      <c r="A490" s="35"/>
      <c r="B490" s="36"/>
      <c r="C490" s="23"/>
      <c r="D490" s="38"/>
      <c r="E490" s="23"/>
      <c r="F490" s="38"/>
      <c r="G490" s="25"/>
      <c r="H490" s="25"/>
      <c r="I490" s="11"/>
      <c r="J490" s="12"/>
      <c r="K490" s="12"/>
      <c r="L490" s="12"/>
      <c r="M490" s="12"/>
      <c r="N490" s="12"/>
      <c r="O490" s="524"/>
    </row>
    <row r="491" spans="1:15" x14ac:dyDescent="0.25">
      <c r="A491" s="35"/>
      <c r="B491" s="36"/>
      <c r="C491" s="23"/>
      <c r="D491" s="38"/>
      <c r="E491" s="23"/>
      <c r="F491" s="38"/>
      <c r="G491" s="25"/>
      <c r="H491" s="25"/>
      <c r="I491" s="11"/>
      <c r="J491" s="12"/>
      <c r="K491" s="12"/>
      <c r="L491" s="12"/>
      <c r="M491" s="12"/>
      <c r="N491" s="12"/>
      <c r="O491" s="524"/>
    </row>
    <row r="492" spans="1:15" x14ac:dyDescent="0.25">
      <c r="A492" s="35"/>
      <c r="B492" s="36"/>
      <c r="C492" s="23"/>
      <c r="D492" s="38"/>
      <c r="E492" s="23"/>
      <c r="F492" s="38"/>
      <c r="G492" s="25"/>
      <c r="H492" s="25"/>
      <c r="I492" s="11"/>
      <c r="J492" s="12"/>
      <c r="K492" s="12"/>
      <c r="L492" s="12"/>
      <c r="M492" s="12"/>
      <c r="N492" s="12"/>
      <c r="O492" s="524"/>
    </row>
    <row r="493" spans="1:15" x14ac:dyDescent="0.25">
      <c r="A493" s="35"/>
      <c r="B493" s="36"/>
      <c r="C493" s="23"/>
      <c r="D493" s="38"/>
      <c r="E493" s="23"/>
      <c r="F493" s="38"/>
      <c r="G493" s="25"/>
      <c r="H493" s="25"/>
      <c r="I493" s="11"/>
      <c r="J493" s="12"/>
      <c r="K493" s="12"/>
      <c r="L493" s="12"/>
      <c r="M493" s="12"/>
      <c r="N493" s="12"/>
      <c r="O493" s="524"/>
    </row>
    <row r="494" spans="1:15" x14ac:dyDescent="0.25">
      <c r="A494" s="30"/>
      <c r="B494" s="30"/>
      <c r="C494" s="31"/>
      <c r="D494" s="31"/>
      <c r="E494" s="31"/>
      <c r="F494" s="32"/>
      <c r="G494" s="32"/>
      <c r="H494" s="32"/>
      <c r="I494" s="11"/>
      <c r="J494" s="12"/>
      <c r="K494" s="12"/>
      <c r="L494" s="12"/>
      <c r="M494" s="12"/>
      <c r="N494" s="12"/>
      <c r="O494" s="524"/>
    </row>
    <row r="495" spans="1:15" x14ac:dyDescent="0.25">
      <c r="A495" s="35"/>
      <c r="B495" s="36"/>
      <c r="C495" s="23"/>
      <c r="D495" s="38"/>
      <c r="E495" s="23"/>
      <c r="F495" s="38"/>
      <c r="G495" s="25"/>
      <c r="H495" s="25"/>
      <c r="I495" s="11"/>
      <c r="J495" s="12"/>
      <c r="K495" s="12"/>
      <c r="L495" s="12"/>
      <c r="M495" s="12"/>
      <c r="N495" s="12"/>
      <c r="O495" s="524"/>
    </row>
    <row r="496" spans="1:15" x14ac:dyDescent="0.25">
      <c r="A496" s="35"/>
      <c r="B496" s="36"/>
      <c r="C496" s="23"/>
      <c r="D496" s="38"/>
      <c r="E496" s="23"/>
      <c r="F496" s="38"/>
      <c r="G496" s="25"/>
      <c r="H496" s="25"/>
      <c r="I496" s="11"/>
      <c r="J496" s="12"/>
      <c r="K496" s="12"/>
      <c r="L496" s="12"/>
      <c r="M496" s="12"/>
      <c r="N496" s="12"/>
      <c r="O496" s="524"/>
    </row>
    <row r="497" spans="1:15" x14ac:dyDescent="0.25">
      <c r="A497" s="35"/>
      <c r="B497" s="36"/>
      <c r="C497" s="23"/>
      <c r="D497" s="38"/>
      <c r="E497" s="23"/>
      <c r="F497" s="38"/>
      <c r="G497" s="25"/>
      <c r="H497" s="25"/>
      <c r="I497" s="11"/>
      <c r="J497" s="12"/>
      <c r="K497" s="12"/>
      <c r="L497" s="12"/>
      <c r="M497" s="12"/>
      <c r="N497" s="12"/>
      <c r="O497" s="524"/>
    </row>
    <row r="498" spans="1:15" x14ac:dyDescent="0.25">
      <c r="A498" s="35"/>
      <c r="B498" s="36"/>
      <c r="C498" s="23"/>
      <c r="D498" s="38"/>
      <c r="E498" s="23"/>
      <c r="F498" s="38"/>
      <c r="G498" s="25"/>
      <c r="H498" s="25"/>
      <c r="I498" s="11"/>
      <c r="J498" s="12"/>
      <c r="K498" s="12"/>
      <c r="L498" s="12"/>
      <c r="M498" s="12"/>
      <c r="N498" s="12"/>
      <c r="O498" s="524"/>
    </row>
    <row r="499" spans="1:15" x14ac:dyDescent="0.25">
      <c r="A499" s="30"/>
      <c r="B499" s="30"/>
      <c r="C499" s="31"/>
      <c r="D499" s="31"/>
      <c r="E499" s="31"/>
      <c r="F499" s="32"/>
      <c r="G499" s="32"/>
      <c r="H499" s="32"/>
      <c r="I499" s="11"/>
      <c r="J499" s="12"/>
      <c r="K499" s="12"/>
      <c r="L499" s="12"/>
      <c r="M499" s="12"/>
      <c r="N499" s="12"/>
      <c r="O499" s="524"/>
    </row>
    <row r="500" spans="1:15" x14ac:dyDescent="0.25">
      <c r="A500" s="35"/>
      <c r="B500" s="36"/>
      <c r="C500" s="23"/>
      <c r="D500" s="38"/>
      <c r="E500" s="23"/>
      <c r="F500" s="38"/>
      <c r="G500" s="25"/>
      <c r="H500" s="25"/>
      <c r="I500" s="11"/>
      <c r="J500" s="12"/>
      <c r="K500" s="12"/>
      <c r="L500" s="12"/>
      <c r="M500" s="12"/>
      <c r="N500" s="12"/>
      <c r="O500" s="524"/>
    </row>
    <row r="501" spans="1:15" x14ac:dyDescent="0.25">
      <c r="A501" s="35"/>
      <c r="B501" s="36"/>
      <c r="C501" s="23"/>
      <c r="D501" s="38"/>
      <c r="E501" s="23"/>
      <c r="F501" s="38"/>
      <c r="G501" s="25"/>
      <c r="H501" s="25"/>
      <c r="I501" s="11"/>
      <c r="J501" s="12"/>
      <c r="K501" s="12"/>
      <c r="L501" s="12"/>
      <c r="M501" s="12"/>
      <c r="N501" s="12"/>
      <c r="O501" s="524"/>
    </row>
    <row r="502" spans="1:15" x14ac:dyDescent="0.25">
      <c r="A502" s="35"/>
      <c r="B502" s="36"/>
      <c r="C502" s="23"/>
      <c r="D502" s="38"/>
      <c r="E502" s="23"/>
      <c r="F502" s="38"/>
      <c r="G502" s="25"/>
      <c r="H502" s="25"/>
      <c r="I502" s="11"/>
      <c r="J502" s="12"/>
      <c r="K502" s="12"/>
      <c r="L502" s="12"/>
      <c r="M502" s="12"/>
      <c r="N502" s="12"/>
      <c r="O502" s="524"/>
    </row>
    <row r="503" spans="1:15" x14ac:dyDescent="0.25">
      <c r="A503" s="35"/>
      <c r="B503" s="36"/>
      <c r="C503" s="23"/>
      <c r="D503" s="38"/>
      <c r="E503" s="23"/>
      <c r="F503" s="38"/>
      <c r="G503" s="25"/>
      <c r="H503" s="25"/>
      <c r="I503" s="11"/>
      <c r="J503" s="12"/>
      <c r="K503" s="12"/>
      <c r="L503" s="12"/>
      <c r="M503" s="12"/>
      <c r="N503" s="12"/>
      <c r="O503" s="524"/>
    </row>
    <row r="504" spans="1:15" x14ac:dyDescent="0.25">
      <c r="A504" s="30"/>
      <c r="B504" s="30"/>
      <c r="C504" s="31"/>
      <c r="D504" s="31"/>
      <c r="E504" s="31"/>
      <c r="F504" s="32"/>
      <c r="G504" s="32"/>
      <c r="H504" s="32"/>
      <c r="I504" s="11"/>
      <c r="J504" s="12"/>
      <c r="K504" s="12"/>
      <c r="L504" s="12"/>
      <c r="M504" s="12"/>
      <c r="N504" s="12"/>
      <c r="O504" s="524"/>
    </row>
    <row r="505" spans="1:15" x14ac:dyDescent="0.25">
      <c r="A505" s="35"/>
      <c r="B505" s="36"/>
      <c r="C505" s="23"/>
      <c r="D505" s="38"/>
      <c r="E505" s="23"/>
      <c r="F505" s="38"/>
      <c r="G505" s="25"/>
      <c r="H505" s="25"/>
      <c r="I505" s="11"/>
      <c r="J505" s="12"/>
      <c r="K505" s="12"/>
      <c r="L505" s="12"/>
      <c r="M505" s="12"/>
      <c r="N505" s="12"/>
      <c r="O505" s="524"/>
    </row>
    <row r="506" spans="1:15" x14ac:dyDescent="0.25">
      <c r="A506" s="35"/>
      <c r="B506" s="36"/>
      <c r="C506" s="23"/>
      <c r="D506" s="38"/>
      <c r="E506" s="23"/>
      <c r="F506" s="38"/>
      <c r="G506" s="25"/>
      <c r="H506" s="25"/>
      <c r="I506" s="11"/>
      <c r="J506" s="12"/>
      <c r="K506" s="12"/>
      <c r="L506" s="12"/>
      <c r="M506" s="12"/>
      <c r="N506" s="12"/>
      <c r="O506" s="524"/>
    </row>
    <row r="507" spans="1:15" x14ac:dyDescent="0.25">
      <c r="A507" s="35"/>
      <c r="B507" s="36"/>
      <c r="C507" s="23"/>
      <c r="D507" s="38"/>
      <c r="E507" s="23"/>
      <c r="F507" s="38"/>
      <c r="G507" s="25"/>
      <c r="H507" s="25"/>
      <c r="I507" s="11"/>
      <c r="J507" s="12"/>
      <c r="K507" s="12"/>
      <c r="L507" s="12"/>
      <c r="M507" s="12"/>
      <c r="N507" s="12"/>
      <c r="O507" s="524"/>
    </row>
    <row r="508" spans="1:15" x14ac:dyDescent="0.25">
      <c r="A508" s="35"/>
      <c r="B508" s="36"/>
      <c r="C508" s="23"/>
      <c r="D508" s="38"/>
      <c r="E508" s="23"/>
      <c r="F508" s="38"/>
      <c r="G508" s="25"/>
      <c r="H508" s="25"/>
      <c r="I508" s="11"/>
      <c r="J508" s="12"/>
      <c r="K508" s="12"/>
      <c r="L508" s="12"/>
      <c r="M508" s="12"/>
      <c r="N508" s="12"/>
      <c r="O508" s="524"/>
    </row>
    <row r="509" spans="1:15" x14ac:dyDescent="0.25">
      <c r="A509" s="30"/>
      <c r="B509" s="30"/>
      <c r="C509" s="31"/>
      <c r="D509" s="31"/>
      <c r="E509" s="31"/>
      <c r="F509" s="32"/>
      <c r="G509" s="32"/>
      <c r="H509" s="32"/>
      <c r="I509" s="11"/>
      <c r="J509" s="12"/>
      <c r="K509" s="12"/>
      <c r="L509" s="12"/>
      <c r="M509" s="12"/>
      <c r="N509" s="12"/>
      <c r="O509" s="524"/>
    </row>
    <row r="510" spans="1:15" x14ac:dyDescent="0.25">
      <c r="A510" s="35"/>
      <c r="B510" s="36"/>
      <c r="C510" s="23"/>
      <c r="D510" s="38"/>
      <c r="E510" s="23"/>
      <c r="F510" s="38"/>
      <c r="G510" s="25"/>
      <c r="H510" s="25"/>
      <c r="I510" s="11"/>
      <c r="J510" s="12"/>
      <c r="K510" s="12"/>
      <c r="L510" s="12"/>
      <c r="M510" s="12"/>
      <c r="N510" s="12"/>
      <c r="O510" s="524"/>
    </row>
    <row r="511" spans="1:15" x14ac:dyDescent="0.25">
      <c r="A511" s="35"/>
      <c r="B511" s="36"/>
      <c r="C511" s="23"/>
      <c r="D511" s="38"/>
      <c r="E511" s="23"/>
      <c r="F511" s="38"/>
      <c r="G511" s="25"/>
      <c r="H511" s="25"/>
      <c r="I511" s="11"/>
      <c r="J511" s="12"/>
      <c r="K511" s="12"/>
      <c r="L511" s="12"/>
      <c r="M511" s="12"/>
      <c r="N511" s="12"/>
      <c r="O511" s="524"/>
    </row>
    <row r="512" spans="1:15" x14ac:dyDescent="0.25">
      <c r="A512" s="35"/>
      <c r="B512" s="36"/>
      <c r="C512" s="23"/>
      <c r="D512" s="38"/>
      <c r="E512" s="23"/>
      <c r="F512" s="38"/>
      <c r="G512" s="25"/>
      <c r="H512" s="25"/>
      <c r="I512" s="11"/>
      <c r="J512" s="12"/>
      <c r="K512" s="12"/>
      <c r="L512" s="12"/>
      <c r="M512" s="12"/>
      <c r="N512" s="12"/>
      <c r="O512" s="524"/>
    </row>
    <row r="513" spans="1:15" x14ac:dyDescent="0.25">
      <c r="A513" s="35"/>
      <c r="B513" s="36"/>
      <c r="C513" s="23"/>
      <c r="D513" s="38"/>
      <c r="E513" s="23"/>
      <c r="F513" s="38"/>
      <c r="G513" s="25"/>
      <c r="H513" s="25"/>
      <c r="I513" s="11"/>
      <c r="J513" s="12"/>
      <c r="K513" s="12"/>
      <c r="L513" s="12"/>
      <c r="M513" s="12"/>
      <c r="N513" s="12"/>
      <c r="O513" s="524"/>
    </row>
    <row r="514" spans="1:15" x14ac:dyDescent="0.25">
      <c r="A514" s="30"/>
      <c r="B514" s="30"/>
      <c r="C514" s="31"/>
      <c r="D514" s="31"/>
      <c r="E514" s="31"/>
      <c r="F514" s="32"/>
      <c r="G514" s="32"/>
      <c r="H514" s="32"/>
      <c r="I514" s="11"/>
      <c r="J514" s="12"/>
      <c r="K514" s="12"/>
      <c r="L514" s="12"/>
      <c r="M514" s="12"/>
      <c r="N514" s="12"/>
      <c r="O514" s="524"/>
    </row>
    <row r="515" spans="1:15" x14ac:dyDescent="0.25">
      <c r="A515" s="35"/>
      <c r="B515" s="36"/>
      <c r="C515" s="23"/>
      <c r="D515" s="38"/>
      <c r="E515" s="23"/>
      <c r="F515" s="38"/>
      <c r="G515" s="25"/>
      <c r="H515" s="25"/>
      <c r="I515" s="11"/>
      <c r="J515" s="12"/>
      <c r="K515" s="12"/>
      <c r="L515" s="12"/>
      <c r="M515" s="12"/>
      <c r="N515" s="12"/>
      <c r="O515" s="524"/>
    </row>
    <row r="516" spans="1:15" x14ac:dyDescent="0.25">
      <c r="A516" s="35"/>
      <c r="B516" s="36"/>
      <c r="C516" s="23"/>
      <c r="D516" s="38"/>
      <c r="E516" s="23"/>
      <c r="F516" s="38"/>
      <c r="G516" s="25"/>
      <c r="H516" s="25"/>
      <c r="I516" s="11"/>
      <c r="J516" s="12"/>
      <c r="K516" s="12"/>
      <c r="L516" s="12"/>
      <c r="M516" s="12"/>
      <c r="N516" s="12"/>
      <c r="O516" s="524"/>
    </row>
    <row r="517" spans="1:15" x14ac:dyDescent="0.25">
      <c r="A517" s="35"/>
      <c r="B517" s="36"/>
      <c r="C517" s="23"/>
      <c r="D517" s="38"/>
      <c r="E517" s="23"/>
      <c r="F517" s="38"/>
      <c r="G517" s="25"/>
      <c r="H517" s="25"/>
      <c r="I517" s="11"/>
      <c r="J517" s="12"/>
      <c r="K517" s="12"/>
      <c r="L517" s="12"/>
      <c r="M517" s="12"/>
      <c r="N517" s="12"/>
      <c r="O517" s="524"/>
    </row>
    <row r="518" spans="1:15" x14ac:dyDescent="0.25">
      <c r="A518" s="35"/>
      <c r="B518" s="36"/>
      <c r="C518" s="23"/>
      <c r="D518" s="38"/>
      <c r="E518" s="23"/>
      <c r="F518" s="38"/>
      <c r="G518" s="25"/>
      <c r="H518" s="25"/>
      <c r="I518" s="11"/>
      <c r="J518" s="12"/>
      <c r="K518" s="12"/>
      <c r="L518" s="12"/>
      <c r="M518" s="12"/>
      <c r="N518" s="12"/>
      <c r="O518" s="524"/>
    </row>
    <row r="519" spans="1:15" x14ac:dyDescent="0.25">
      <c r="A519" s="30"/>
      <c r="B519" s="30"/>
      <c r="C519" s="31"/>
      <c r="D519" s="31"/>
      <c r="E519" s="31"/>
      <c r="F519" s="32"/>
      <c r="G519" s="32"/>
      <c r="H519" s="32"/>
      <c r="I519" s="11"/>
      <c r="J519" s="12"/>
      <c r="K519" s="12"/>
      <c r="L519" s="12"/>
      <c r="M519" s="12"/>
      <c r="N519" s="12"/>
      <c r="O519" s="524"/>
    </row>
    <row r="520" spans="1:15" x14ac:dyDescent="0.25">
      <c r="A520" s="35"/>
      <c r="B520" s="36"/>
      <c r="C520" s="23"/>
      <c r="D520" s="38"/>
      <c r="E520" s="23"/>
      <c r="F520" s="38"/>
      <c r="G520" s="25"/>
      <c r="H520" s="25"/>
      <c r="I520" s="11"/>
      <c r="J520" s="12"/>
      <c r="K520" s="12"/>
      <c r="L520" s="12"/>
      <c r="M520" s="12"/>
      <c r="N520" s="12"/>
      <c r="O520" s="524"/>
    </row>
    <row r="521" spans="1:15" x14ac:dyDescent="0.25">
      <c r="A521" s="35"/>
      <c r="B521" s="36"/>
      <c r="C521" s="23"/>
      <c r="D521" s="38"/>
      <c r="E521" s="23"/>
      <c r="F521" s="38"/>
      <c r="G521" s="25"/>
      <c r="H521" s="25"/>
      <c r="I521" s="11"/>
      <c r="J521" s="12"/>
      <c r="K521" s="12"/>
      <c r="L521" s="12"/>
      <c r="M521" s="12"/>
      <c r="N521" s="12"/>
      <c r="O521" s="524"/>
    </row>
    <row r="522" spans="1:15" x14ac:dyDescent="0.25">
      <c r="A522" s="35"/>
      <c r="B522" s="36"/>
      <c r="C522" s="23"/>
      <c r="D522" s="38"/>
      <c r="E522" s="23"/>
      <c r="F522" s="38"/>
      <c r="G522" s="25"/>
      <c r="H522" s="25"/>
      <c r="I522" s="11"/>
      <c r="J522" s="12"/>
      <c r="K522" s="12"/>
      <c r="L522" s="12"/>
      <c r="M522" s="12"/>
      <c r="N522" s="12"/>
      <c r="O522" s="524"/>
    </row>
    <row r="523" spans="1:15" x14ac:dyDescent="0.25">
      <c r="A523" s="35"/>
      <c r="B523" s="36"/>
      <c r="C523" s="23"/>
      <c r="D523" s="38"/>
      <c r="E523" s="23"/>
      <c r="F523" s="38"/>
      <c r="G523" s="25"/>
      <c r="H523" s="25"/>
      <c r="I523" s="11"/>
      <c r="J523" s="12"/>
      <c r="K523" s="12"/>
      <c r="L523" s="12"/>
      <c r="M523" s="12"/>
      <c r="N523" s="12"/>
      <c r="O523" s="524"/>
    </row>
    <row r="524" spans="1:15" x14ac:dyDescent="0.25">
      <c r="A524" s="30"/>
      <c r="B524" s="30"/>
      <c r="C524" s="31"/>
      <c r="D524" s="31"/>
      <c r="E524" s="31"/>
      <c r="F524" s="32"/>
      <c r="G524" s="32"/>
      <c r="H524" s="32"/>
      <c r="I524" s="11"/>
      <c r="J524" s="12"/>
      <c r="K524" s="12"/>
      <c r="L524" s="12"/>
      <c r="M524" s="12"/>
      <c r="N524" s="12"/>
      <c r="O524" s="524"/>
    </row>
    <row r="525" spans="1:15" x14ac:dyDescent="0.25">
      <c r="A525" s="35"/>
      <c r="B525" s="36"/>
      <c r="C525" s="23"/>
      <c r="D525" s="38"/>
      <c r="E525" s="23"/>
      <c r="F525" s="38"/>
      <c r="G525" s="25"/>
      <c r="H525" s="25"/>
      <c r="I525" s="11"/>
      <c r="J525" s="12"/>
      <c r="K525" s="12"/>
      <c r="L525" s="12"/>
      <c r="M525" s="12"/>
      <c r="N525" s="12"/>
      <c r="O525" s="524"/>
    </row>
    <row r="526" spans="1:15" x14ac:dyDescent="0.25">
      <c r="A526" s="35"/>
      <c r="B526" s="36"/>
      <c r="C526" s="23"/>
      <c r="D526" s="38"/>
      <c r="E526" s="23"/>
      <c r="F526" s="38"/>
      <c r="G526" s="25"/>
      <c r="H526" s="25"/>
      <c r="I526" s="11"/>
      <c r="J526" s="12"/>
      <c r="K526" s="12"/>
      <c r="L526" s="12"/>
      <c r="M526" s="12"/>
      <c r="N526" s="12"/>
      <c r="O526" s="524"/>
    </row>
    <row r="527" spans="1:15" x14ac:dyDescent="0.25">
      <c r="A527" s="35"/>
      <c r="B527" s="36"/>
      <c r="C527" s="23"/>
      <c r="D527" s="38"/>
      <c r="E527" s="23"/>
      <c r="F527" s="38"/>
      <c r="G527" s="25"/>
      <c r="H527" s="25"/>
      <c r="I527" s="11"/>
      <c r="J527" s="12"/>
      <c r="K527" s="12"/>
      <c r="L527" s="12"/>
      <c r="M527" s="12"/>
      <c r="N527" s="12"/>
      <c r="O527" s="524"/>
    </row>
    <row r="528" spans="1:15" x14ac:dyDescent="0.25">
      <c r="A528" s="35"/>
      <c r="B528" s="36"/>
      <c r="C528" s="23"/>
      <c r="D528" s="38"/>
      <c r="E528" s="23"/>
      <c r="F528" s="38"/>
      <c r="G528" s="25"/>
      <c r="H528" s="25"/>
      <c r="I528" s="11"/>
      <c r="J528" s="12"/>
      <c r="K528" s="12"/>
      <c r="L528" s="12"/>
      <c r="M528" s="12"/>
      <c r="N528" s="12"/>
      <c r="O528" s="524"/>
    </row>
    <row r="529" spans="1:15" x14ac:dyDescent="0.25">
      <c r="A529" s="30"/>
      <c r="B529" s="30"/>
      <c r="C529" s="31"/>
      <c r="D529" s="31"/>
      <c r="E529" s="31"/>
      <c r="F529" s="32"/>
      <c r="G529" s="32"/>
      <c r="H529" s="32"/>
      <c r="I529" s="11"/>
      <c r="J529" s="12"/>
      <c r="K529" s="12"/>
      <c r="L529" s="12"/>
      <c r="M529" s="12"/>
      <c r="N529" s="12"/>
      <c r="O529" s="524"/>
    </row>
    <row r="530" spans="1:15" x14ac:dyDescent="0.25">
      <c r="A530" s="35"/>
      <c r="B530" s="36"/>
      <c r="C530" s="23"/>
      <c r="D530" s="38"/>
      <c r="E530" s="23"/>
      <c r="F530" s="38"/>
      <c r="G530" s="25"/>
      <c r="H530" s="25"/>
      <c r="I530" s="11"/>
      <c r="J530" s="12"/>
      <c r="K530" s="12"/>
      <c r="L530" s="12"/>
      <c r="M530" s="12"/>
      <c r="N530" s="12"/>
      <c r="O530" s="524"/>
    </row>
    <row r="531" spans="1:15" x14ac:dyDescent="0.25">
      <c r="A531" s="35"/>
      <c r="B531" s="36"/>
      <c r="C531" s="23"/>
      <c r="D531" s="38"/>
      <c r="E531" s="23"/>
      <c r="F531" s="38"/>
      <c r="G531" s="25"/>
      <c r="H531" s="25"/>
      <c r="I531" s="11"/>
      <c r="J531" s="12"/>
      <c r="K531" s="12"/>
      <c r="L531" s="12"/>
      <c r="M531" s="12"/>
      <c r="N531" s="12"/>
      <c r="O531" s="524"/>
    </row>
    <row r="532" spans="1:15" x14ac:dyDescent="0.25">
      <c r="A532" s="35"/>
      <c r="B532" s="36"/>
      <c r="C532" s="23"/>
      <c r="D532" s="38"/>
      <c r="E532" s="23"/>
      <c r="F532" s="38"/>
      <c r="G532" s="25"/>
      <c r="H532" s="25"/>
      <c r="I532" s="11"/>
      <c r="J532" s="12"/>
      <c r="K532" s="12"/>
      <c r="L532" s="12"/>
      <c r="M532" s="12"/>
      <c r="N532" s="12"/>
      <c r="O532" s="524"/>
    </row>
    <row r="533" spans="1:15" x14ac:dyDescent="0.25">
      <c r="A533" s="35"/>
      <c r="B533" s="36"/>
      <c r="C533" s="23"/>
      <c r="D533" s="38"/>
      <c r="E533" s="23"/>
      <c r="F533" s="38"/>
      <c r="G533" s="25"/>
      <c r="H533" s="25"/>
      <c r="I533" s="11"/>
      <c r="J533" s="12"/>
      <c r="K533" s="12"/>
      <c r="L533" s="12"/>
      <c r="M533" s="12"/>
      <c r="N533" s="12"/>
      <c r="O533" s="524"/>
    </row>
    <row r="534" spans="1:15" x14ac:dyDescent="0.25">
      <c r="A534" s="30"/>
      <c r="B534" s="30"/>
      <c r="C534" s="31"/>
      <c r="D534" s="31"/>
      <c r="E534" s="31"/>
      <c r="F534" s="32"/>
      <c r="G534" s="32"/>
      <c r="H534" s="32"/>
      <c r="I534" s="11"/>
      <c r="J534" s="12"/>
      <c r="K534" s="12"/>
      <c r="L534" s="12"/>
      <c r="M534" s="12"/>
      <c r="N534" s="12"/>
      <c r="O534" s="524"/>
    </row>
    <row r="535" spans="1:15" x14ac:dyDescent="0.25">
      <c r="A535" s="35"/>
      <c r="B535" s="36"/>
      <c r="C535" s="23"/>
      <c r="D535" s="38"/>
      <c r="E535" s="23"/>
      <c r="F535" s="38"/>
      <c r="G535" s="25"/>
      <c r="H535" s="25"/>
      <c r="I535" s="11"/>
      <c r="J535" s="12"/>
      <c r="K535" s="12"/>
      <c r="L535" s="12"/>
      <c r="M535" s="12"/>
      <c r="N535" s="12"/>
      <c r="O535" s="524"/>
    </row>
    <row r="536" spans="1:15" x14ac:dyDescent="0.25">
      <c r="A536" s="35"/>
      <c r="B536" s="36"/>
      <c r="C536" s="23"/>
      <c r="D536" s="38"/>
      <c r="E536" s="23"/>
      <c r="F536" s="38"/>
      <c r="G536" s="25"/>
      <c r="H536" s="25"/>
      <c r="I536" s="11"/>
      <c r="J536" s="12"/>
      <c r="K536" s="12"/>
      <c r="L536" s="12"/>
      <c r="M536" s="12"/>
      <c r="N536" s="12"/>
      <c r="O536" s="524"/>
    </row>
    <row r="537" spans="1:15" x14ac:dyDescent="0.25">
      <c r="A537" s="35"/>
      <c r="B537" s="36"/>
      <c r="C537" s="23"/>
      <c r="D537" s="38"/>
      <c r="E537" s="23"/>
      <c r="F537" s="38"/>
      <c r="G537" s="25"/>
      <c r="H537" s="25"/>
      <c r="I537" s="11"/>
      <c r="J537" s="12"/>
      <c r="K537" s="12"/>
      <c r="L537" s="12"/>
      <c r="M537" s="12"/>
      <c r="N537" s="12"/>
      <c r="O537" s="524"/>
    </row>
    <row r="538" spans="1:15" x14ac:dyDescent="0.25">
      <c r="A538" s="35"/>
      <c r="B538" s="36"/>
      <c r="C538" s="23"/>
      <c r="D538" s="38"/>
      <c r="E538" s="23"/>
      <c r="F538" s="38"/>
      <c r="G538" s="25"/>
      <c r="H538" s="25"/>
      <c r="I538" s="11"/>
      <c r="J538" s="12"/>
      <c r="K538" s="12"/>
      <c r="L538" s="12"/>
      <c r="M538" s="12"/>
      <c r="N538" s="12"/>
      <c r="O538" s="524"/>
    </row>
    <row r="539" spans="1:15" x14ac:dyDescent="0.25">
      <c r="A539" s="30"/>
      <c r="B539" s="30"/>
      <c r="C539" s="31"/>
      <c r="D539" s="31"/>
      <c r="E539" s="31"/>
      <c r="F539" s="32"/>
      <c r="G539" s="32"/>
      <c r="H539" s="32"/>
      <c r="I539" s="11"/>
      <c r="J539" s="12"/>
      <c r="K539" s="12"/>
      <c r="L539" s="12"/>
      <c r="M539" s="12"/>
      <c r="N539" s="12"/>
      <c r="O539" s="524"/>
    </row>
    <row r="540" spans="1:15" x14ac:dyDescent="0.25">
      <c r="A540" s="43"/>
      <c r="B540" s="44"/>
      <c r="C540" s="45"/>
      <c r="D540" s="45"/>
      <c r="E540" s="45"/>
      <c r="F540" s="46"/>
      <c r="G540" s="47"/>
      <c r="H540" s="47"/>
      <c r="I540" s="11"/>
      <c r="J540" s="12"/>
      <c r="K540" s="12"/>
      <c r="L540" s="12"/>
      <c r="M540" s="12"/>
      <c r="N540" s="12"/>
      <c r="O540" s="524"/>
    </row>
    <row r="541" spans="1:15" x14ac:dyDescent="0.25">
      <c r="A541" s="14"/>
      <c r="B541" s="15"/>
      <c r="C541" s="14"/>
      <c r="D541" s="14"/>
      <c r="E541" s="14"/>
      <c r="F541" s="16"/>
      <c r="G541" s="16"/>
      <c r="H541" s="16"/>
      <c r="I541" s="11"/>
      <c r="J541" s="12"/>
      <c r="K541" s="12"/>
      <c r="L541" s="12"/>
      <c r="M541" s="12"/>
      <c r="N541" s="12"/>
      <c r="O541" s="524"/>
    </row>
    <row r="542" spans="1:15" x14ac:dyDescent="0.25">
      <c r="A542" s="17"/>
      <c r="B542" s="37"/>
      <c r="C542" s="19"/>
      <c r="D542" s="20"/>
      <c r="E542" s="19"/>
      <c r="F542" s="21"/>
      <c r="G542" s="21"/>
      <c r="H542" s="21"/>
      <c r="I542" s="11"/>
      <c r="J542" s="12"/>
      <c r="K542" s="12"/>
      <c r="L542" s="12"/>
      <c r="M542" s="12"/>
      <c r="N542" s="12"/>
      <c r="O542" s="524"/>
    </row>
    <row r="543" spans="1:15" x14ac:dyDescent="0.25">
      <c r="A543" s="35"/>
      <c r="B543" s="36"/>
      <c r="C543" s="23"/>
      <c r="D543" s="24"/>
      <c r="E543" s="23"/>
      <c r="F543" s="25"/>
      <c r="G543" s="25"/>
      <c r="H543" s="25"/>
      <c r="I543" s="11"/>
      <c r="J543" s="12"/>
      <c r="K543" s="12"/>
      <c r="L543" s="12"/>
      <c r="M543" s="12"/>
      <c r="N543" s="12"/>
      <c r="O543" s="524"/>
    </row>
    <row r="544" spans="1:15" x14ac:dyDescent="0.25">
      <c r="A544" s="35"/>
      <c r="B544" s="36"/>
      <c r="C544" s="23"/>
      <c r="D544" s="24"/>
      <c r="E544" s="23"/>
      <c r="F544" s="25"/>
      <c r="G544" s="25"/>
      <c r="H544" s="25"/>
      <c r="I544" s="11"/>
      <c r="J544" s="12"/>
      <c r="K544" s="12"/>
      <c r="L544" s="12"/>
      <c r="M544" s="12"/>
      <c r="N544" s="12"/>
      <c r="O544" s="524"/>
    </row>
    <row r="545" spans="1:48" x14ac:dyDescent="0.25">
      <c r="A545" s="35"/>
      <c r="B545" s="36"/>
      <c r="C545" s="23"/>
      <c r="D545" s="24"/>
      <c r="E545" s="23"/>
      <c r="F545" s="25"/>
      <c r="G545" s="25"/>
      <c r="H545" s="25"/>
      <c r="I545" s="11"/>
      <c r="J545" s="12"/>
      <c r="K545" s="12"/>
      <c r="L545" s="12"/>
      <c r="M545" s="12"/>
      <c r="N545" s="12"/>
      <c r="O545" s="524"/>
    </row>
    <row r="546" spans="1:48" x14ac:dyDescent="0.25">
      <c r="A546" s="35"/>
      <c r="B546" s="36"/>
      <c r="C546" s="23"/>
      <c r="D546" s="24"/>
      <c r="E546" s="23"/>
      <c r="F546" s="25"/>
      <c r="G546" s="25"/>
      <c r="H546" s="25"/>
      <c r="I546" s="11"/>
      <c r="J546" s="12"/>
      <c r="K546" s="12"/>
      <c r="L546" s="12"/>
      <c r="M546" s="12"/>
      <c r="N546" s="12"/>
      <c r="O546" s="524"/>
    </row>
    <row r="547" spans="1:48" x14ac:dyDescent="0.25">
      <c r="A547" s="30"/>
      <c r="B547" s="30"/>
      <c r="C547" s="31"/>
      <c r="D547" s="31"/>
      <c r="E547" s="31"/>
      <c r="F547" s="32"/>
      <c r="G547" s="32"/>
      <c r="H547" s="32"/>
      <c r="I547" s="11"/>
      <c r="J547" s="12"/>
      <c r="K547" s="12"/>
      <c r="L547" s="12"/>
      <c r="M547" s="12"/>
      <c r="N547" s="12"/>
      <c r="O547" s="524"/>
    </row>
    <row r="548" spans="1:48" x14ac:dyDescent="0.25">
      <c r="A548" s="35"/>
      <c r="B548" s="36"/>
      <c r="C548" s="23"/>
      <c r="D548" s="24"/>
      <c r="E548" s="23"/>
      <c r="F548" s="25"/>
      <c r="G548" s="25"/>
      <c r="H548" s="25"/>
      <c r="I548" s="11"/>
      <c r="J548" s="12"/>
      <c r="K548" s="12"/>
      <c r="L548" s="12"/>
      <c r="M548" s="12"/>
      <c r="N548" s="12"/>
      <c r="O548" s="524"/>
    </row>
    <row r="549" spans="1:48" x14ac:dyDescent="0.25">
      <c r="A549" s="35"/>
      <c r="B549" s="36"/>
      <c r="C549" s="23"/>
      <c r="D549" s="24"/>
      <c r="E549" s="23"/>
      <c r="F549" s="25"/>
      <c r="G549" s="25"/>
      <c r="H549" s="25"/>
      <c r="I549" s="11"/>
      <c r="J549" s="12"/>
      <c r="K549" s="12"/>
      <c r="L549" s="12"/>
      <c r="M549" s="12"/>
      <c r="N549" s="12"/>
      <c r="O549" s="524"/>
    </row>
    <row r="550" spans="1:48" x14ac:dyDescent="0.25">
      <c r="A550" s="35"/>
      <c r="B550" s="36"/>
      <c r="C550" s="23"/>
      <c r="D550" s="24"/>
      <c r="E550" s="23"/>
      <c r="F550" s="25"/>
      <c r="G550" s="25"/>
      <c r="H550" s="25"/>
      <c r="I550" s="11"/>
      <c r="J550" s="12"/>
      <c r="K550" s="12"/>
      <c r="L550" s="12"/>
      <c r="M550" s="12"/>
      <c r="N550" s="12"/>
      <c r="O550" s="524"/>
    </row>
    <row r="551" spans="1:48" x14ac:dyDescent="0.25">
      <c r="A551" s="35"/>
      <c r="B551" s="36"/>
      <c r="C551" s="23"/>
      <c r="D551" s="24"/>
      <c r="E551" s="23"/>
      <c r="F551" s="25"/>
      <c r="G551" s="25"/>
      <c r="H551" s="25"/>
      <c r="I551" s="11"/>
      <c r="J551" s="12"/>
      <c r="K551" s="12"/>
      <c r="L551" s="12"/>
      <c r="M551" s="12"/>
      <c r="N551" s="12"/>
      <c r="O551" s="524"/>
    </row>
    <row r="552" spans="1:48" x14ac:dyDescent="0.25">
      <c r="A552" s="30"/>
      <c r="B552" s="30"/>
      <c r="C552" s="31"/>
      <c r="D552" s="31"/>
      <c r="E552" s="31"/>
      <c r="F552" s="32"/>
      <c r="G552" s="32"/>
      <c r="H552" s="32"/>
      <c r="I552" s="11"/>
      <c r="J552" s="12"/>
      <c r="K552" s="12"/>
      <c r="L552" s="12"/>
      <c r="M552" s="12"/>
      <c r="N552" s="12"/>
      <c r="O552" s="524"/>
    </row>
    <row r="553" spans="1:48" x14ac:dyDescent="0.25">
      <c r="A553" s="35"/>
      <c r="B553" s="36"/>
      <c r="C553" s="23"/>
      <c r="D553" s="24"/>
      <c r="E553" s="23"/>
      <c r="F553" s="25"/>
      <c r="G553" s="25"/>
      <c r="H553" s="25"/>
      <c r="I553" s="11"/>
      <c r="J553" s="12"/>
      <c r="K553" s="12"/>
      <c r="L553" s="12"/>
      <c r="M553" s="12"/>
      <c r="N553" s="12"/>
      <c r="O553" s="524"/>
    </row>
    <row r="554" spans="1:48" x14ac:dyDescent="0.25">
      <c r="A554" s="35"/>
      <c r="B554" s="36"/>
      <c r="C554" s="23"/>
      <c r="D554" s="24"/>
      <c r="E554" s="23"/>
      <c r="F554" s="25"/>
      <c r="G554" s="25"/>
      <c r="H554" s="25"/>
      <c r="I554" s="11"/>
      <c r="J554" s="12"/>
      <c r="K554" s="12"/>
      <c r="L554" s="12"/>
      <c r="M554" s="12"/>
      <c r="N554" s="12"/>
      <c r="O554" s="524"/>
    </row>
    <row r="555" spans="1:48" x14ac:dyDescent="0.25">
      <c r="A555" s="35"/>
      <c r="B555" s="36"/>
      <c r="C555" s="23"/>
      <c r="D555" s="24"/>
      <c r="E555" s="23"/>
      <c r="F555" s="25"/>
      <c r="G555" s="25"/>
      <c r="H555" s="25"/>
      <c r="I555" s="11"/>
      <c r="J555" s="12"/>
      <c r="K555" s="12"/>
      <c r="L555" s="12"/>
      <c r="M555" s="12"/>
      <c r="N555" s="12"/>
      <c r="O555" s="524"/>
    </row>
    <row r="556" spans="1:48" s="48" customFormat="1" x14ac:dyDescent="0.25">
      <c r="A556" s="35"/>
      <c r="B556" s="36"/>
      <c r="C556" s="23"/>
      <c r="D556" s="24"/>
      <c r="E556" s="23"/>
      <c r="F556" s="25"/>
      <c r="G556" s="25"/>
      <c r="H556" s="25"/>
      <c r="I556" s="11"/>
      <c r="J556" s="12"/>
      <c r="K556" s="12"/>
      <c r="L556" s="12"/>
      <c r="M556" s="12"/>
      <c r="N556" s="12"/>
      <c r="O556" s="524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</row>
    <row r="557" spans="1:48" x14ac:dyDescent="0.25">
      <c r="A557" s="30"/>
      <c r="B557" s="30"/>
      <c r="C557" s="31"/>
      <c r="D557" s="31"/>
      <c r="E557" s="31"/>
      <c r="F557" s="32"/>
      <c r="G557" s="32"/>
      <c r="H557" s="32"/>
      <c r="I557" s="11"/>
      <c r="J557" s="12"/>
      <c r="K557" s="12"/>
      <c r="L557" s="12"/>
      <c r="M557" s="12"/>
      <c r="N557" s="12"/>
      <c r="O557" s="524"/>
    </row>
    <row r="558" spans="1:48" x14ac:dyDescent="0.25">
      <c r="A558" s="35"/>
      <c r="B558" s="36"/>
      <c r="C558" s="23"/>
      <c r="D558" s="24"/>
      <c r="E558" s="23"/>
      <c r="F558" s="25"/>
      <c r="G558" s="25"/>
      <c r="H558" s="25"/>
      <c r="I558" s="11"/>
      <c r="J558" s="12"/>
      <c r="K558" s="12"/>
      <c r="L558" s="12"/>
      <c r="M558" s="12"/>
      <c r="N558" s="12"/>
      <c r="O558" s="524"/>
    </row>
    <row r="559" spans="1:48" x14ac:dyDescent="0.25">
      <c r="A559" s="35"/>
      <c r="B559" s="36"/>
      <c r="C559" s="23"/>
      <c r="D559" s="24"/>
      <c r="E559" s="23"/>
      <c r="F559" s="25"/>
      <c r="G559" s="25"/>
      <c r="H559" s="25"/>
      <c r="I559" s="11"/>
      <c r="J559" s="12"/>
      <c r="K559" s="12"/>
      <c r="L559" s="12"/>
      <c r="M559" s="12"/>
      <c r="N559" s="12"/>
      <c r="O559" s="524"/>
    </row>
    <row r="560" spans="1:48" x14ac:dyDescent="0.25">
      <c r="A560" s="35"/>
      <c r="B560" s="36"/>
      <c r="C560" s="23"/>
      <c r="D560" s="24"/>
      <c r="E560" s="23"/>
      <c r="F560" s="25"/>
      <c r="G560" s="25"/>
      <c r="H560" s="25"/>
      <c r="I560" s="11"/>
      <c r="J560" s="12"/>
      <c r="K560" s="12"/>
      <c r="L560" s="12"/>
      <c r="M560" s="12"/>
      <c r="N560" s="12"/>
      <c r="O560" s="524"/>
    </row>
    <row r="561" spans="1:15" x14ac:dyDescent="0.25">
      <c r="A561" s="35"/>
      <c r="B561" s="36"/>
      <c r="C561" s="23"/>
      <c r="D561" s="24"/>
      <c r="E561" s="23"/>
      <c r="F561" s="25"/>
      <c r="G561" s="25"/>
      <c r="H561" s="25"/>
      <c r="I561" s="11"/>
      <c r="J561" s="12"/>
      <c r="K561" s="12"/>
      <c r="L561" s="12"/>
      <c r="M561" s="12"/>
      <c r="N561" s="12"/>
      <c r="O561" s="524"/>
    </row>
    <row r="562" spans="1:15" x14ac:dyDescent="0.25">
      <c r="A562" s="30"/>
      <c r="B562" s="30"/>
      <c r="C562" s="31"/>
      <c r="D562" s="31"/>
      <c r="E562" s="31"/>
      <c r="F562" s="32"/>
      <c r="G562" s="32"/>
      <c r="H562" s="32"/>
      <c r="I562" s="11"/>
      <c r="J562" s="12"/>
      <c r="K562" s="12"/>
      <c r="L562" s="12"/>
      <c r="M562" s="12"/>
      <c r="N562" s="12"/>
      <c r="O562" s="524"/>
    </row>
    <row r="563" spans="1:15" s="49" customFormat="1" ht="15" x14ac:dyDescent="0.25">
      <c r="A563" s="35"/>
      <c r="B563" s="36"/>
      <c r="C563" s="23"/>
      <c r="D563" s="33"/>
      <c r="E563" s="23"/>
      <c r="F563" s="25"/>
      <c r="G563" s="25"/>
      <c r="H563" s="25"/>
      <c r="I563" s="11"/>
      <c r="J563" s="12"/>
      <c r="K563" s="12"/>
      <c r="L563" s="12"/>
      <c r="M563" s="12"/>
      <c r="N563" s="12"/>
      <c r="O563" s="524"/>
    </row>
    <row r="564" spans="1:15" x14ac:dyDescent="0.25">
      <c r="A564" s="35"/>
      <c r="B564" s="36"/>
      <c r="C564" s="23"/>
      <c r="D564" s="33"/>
      <c r="E564" s="23"/>
      <c r="F564" s="25"/>
      <c r="G564" s="25"/>
      <c r="H564" s="25"/>
      <c r="I564" s="11"/>
      <c r="J564" s="12"/>
      <c r="K564" s="12"/>
      <c r="L564" s="12"/>
      <c r="M564" s="12"/>
      <c r="N564" s="12"/>
      <c r="O564" s="524"/>
    </row>
    <row r="565" spans="1:15" x14ac:dyDescent="0.25">
      <c r="A565" s="35"/>
      <c r="B565" s="36"/>
      <c r="C565" s="23"/>
      <c r="D565" s="24"/>
      <c r="E565" s="23"/>
      <c r="F565" s="25"/>
      <c r="G565" s="25"/>
      <c r="H565" s="25"/>
      <c r="I565" s="11"/>
      <c r="J565" s="12"/>
      <c r="K565" s="12"/>
      <c r="L565" s="12"/>
      <c r="M565" s="12"/>
      <c r="N565" s="12"/>
      <c r="O565" s="524"/>
    </row>
    <row r="566" spans="1:15" x14ac:dyDescent="0.25">
      <c r="A566" s="35"/>
      <c r="B566" s="36"/>
      <c r="C566" s="23"/>
      <c r="D566" s="24"/>
      <c r="E566" s="23"/>
      <c r="F566" s="25"/>
      <c r="G566" s="25"/>
      <c r="H566" s="25"/>
      <c r="I566" s="11"/>
      <c r="J566" s="12"/>
      <c r="K566" s="12"/>
      <c r="L566" s="12"/>
      <c r="M566" s="12"/>
      <c r="N566" s="12"/>
      <c r="O566" s="524"/>
    </row>
    <row r="567" spans="1:15" x14ac:dyDescent="0.25">
      <c r="A567" s="30"/>
      <c r="B567" s="30"/>
      <c r="C567" s="31"/>
      <c r="D567" s="31"/>
      <c r="E567" s="31"/>
      <c r="F567" s="32"/>
      <c r="G567" s="32"/>
      <c r="H567" s="32"/>
      <c r="I567" s="11"/>
      <c r="J567" s="12"/>
      <c r="K567" s="12"/>
      <c r="L567" s="12"/>
      <c r="M567" s="12"/>
      <c r="N567" s="12"/>
      <c r="O567" s="524"/>
    </row>
    <row r="568" spans="1:15" s="49" customFormat="1" ht="15" x14ac:dyDescent="0.25">
      <c r="A568" s="35"/>
      <c r="B568" s="36"/>
      <c r="C568" s="23"/>
      <c r="D568" s="24"/>
      <c r="E568" s="23"/>
      <c r="F568" s="25"/>
      <c r="G568" s="25"/>
      <c r="H568" s="25"/>
      <c r="I568" s="11"/>
      <c r="J568" s="12"/>
      <c r="K568" s="12"/>
      <c r="L568" s="12"/>
      <c r="M568" s="12"/>
      <c r="N568" s="12"/>
      <c r="O568" s="524"/>
    </row>
    <row r="569" spans="1:15" x14ac:dyDescent="0.25">
      <c r="A569" s="35"/>
      <c r="B569" s="36"/>
      <c r="C569" s="23"/>
      <c r="D569" s="24"/>
      <c r="E569" s="23"/>
      <c r="F569" s="25"/>
      <c r="G569" s="25"/>
      <c r="H569" s="25"/>
      <c r="I569" s="11"/>
      <c r="J569" s="12"/>
      <c r="K569" s="12"/>
      <c r="L569" s="12"/>
      <c r="M569" s="12"/>
      <c r="N569" s="12"/>
      <c r="O569" s="524"/>
    </row>
    <row r="570" spans="1:15" ht="19.5" customHeight="1" x14ac:dyDescent="0.25">
      <c r="A570" s="35"/>
      <c r="B570" s="36"/>
      <c r="C570" s="23"/>
      <c r="D570" s="24"/>
      <c r="E570" s="23"/>
      <c r="F570" s="25"/>
      <c r="G570" s="25"/>
      <c r="H570" s="25"/>
      <c r="I570" s="11"/>
      <c r="J570" s="12"/>
      <c r="K570" s="12"/>
      <c r="L570" s="12"/>
      <c r="M570" s="12"/>
      <c r="N570" s="12"/>
      <c r="O570" s="524"/>
    </row>
    <row r="571" spans="1:15" x14ac:dyDescent="0.25">
      <c r="A571" s="35"/>
      <c r="B571" s="36"/>
      <c r="C571" s="23"/>
      <c r="D571" s="24"/>
      <c r="E571" s="23"/>
      <c r="F571" s="25"/>
      <c r="G571" s="25"/>
      <c r="H571" s="25"/>
      <c r="I571" s="11"/>
      <c r="J571" s="12"/>
      <c r="K571" s="12"/>
      <c r="L571" s="12"/>
      <c r="M571" s="12"/>
      <c r="N571" s="12"/>
      <c r="O571" s="524"/>
    </row>
    <row r="572" spans="1:15" x14ac:dyDescent="0.25">
      <c r="A572" s="30"/>
      <c r="B572" s="30"/>
      <c r="C572" s="31"/>
      <c r="D572" s="31"/>
      <c r="E572" s="31"/>
      <c r="F572" s="32"/>
      <c r="G572" s="32"/>
      <c r="H572" s="32"/>
      <c r="I572" s="11"/>
      <c r="J572" s="12"/>
      <c r="K572" s="12"/>
      <c r="L572" s="12"/>
      <c r="M572" s="12"/>
      <c r="N572" s="12"/>
      <c r="O572" s="524"/>
    </row>
    <row r="573" spans="1:15" ht="17.25" customHeight="1" x14ac:dyDescent="0.25">
      <c r="A573" s="35"/>
      <c r="B573" s="36"/>
      <c r="C573" s="23"/>
      <c r="D573" s="33"/>
      <c r="E573" s="23"/>
      <c r="F573" s="25"/>
      <c r="G573" s="25"/>
      <c r="H573" s="25"/>
      <c r="I573" s="11"/>
      <c r="J573" s="12"/>
      <c r="K573" s="12"/>
      <c r="L573" s="12"/>
      <c r="M573" s="12"/>
      <c r="N573" s="12"/>
      <c r="O573" s="524"/>
    </row>
    <row r="574" spans="1:15" x14ac:dyDescent="0.25">
      <c r="A574" s="35"/>
      <c r="B574" s="36"/>
      <c r="C574" s="23"/>
      <c r="D574" s="33"/>
      <c r="E574" s="23"/>
      <c r="F574" s="25"/>
      <c r="G574" s="25"/>
      <c r="H574" s="25"/>
      <c r="I574" s="11"/>
      <c r="J574" s="12"/>
      <c r="K574" s="12"/>
      <c r="L574" s="12"/>
      <c r="M574" s="12"/>
      <c r="N574" s="12"/>
      <c r="O574" s="524"/>
    </row>
    <row r="575" spans="1:15" x14ac:dyDescent="0.25">
      <c r="A575" s="35"/>
      <c r="B575" s="36"/>
      <c r="C575" s="23"/>
      <c r="D575" s="24"/>
      <c r="E575" s="23"/>
      <c r="F575" s="25"/>
      <c r="G575" s="25"/>
      <c r="H575" s="25"/>
      <c r="I575" s="11"/>
      <c r="J575" s="12"/>
      <c r="K575" s="12"/>
      <c r="L575" s="12"/>
      <c r="M575" s="12"/>
      <c r="N575" s="12"/>
      <c r="O575" s="524"/>
    </row>
    <row r="576" spans="1:15" x14ac:dyDescent="0.25">
      <c r="A576" s="35"/>
      <c r="B576" s="36"/>
      <c r="C576" s="23"/>
      <c r="D576" s="24"/>
      <c r="E576" s="23"/>
      <c r="F576" s="25"/>
      <c r="G576" s="25"/>
      <c r="H576" s="25"/>
      <c r="I576" s="11"/>
      <c r="J576" s="12"/>
      <c r="K576" s="12"/>
      <c r="L576" s="12"/>
      <c r="M576" s="12"/>
      <c r="N576" s="12"/>
      <c r="O576" s="524"/>
    </row>
    <row r="577" spans="1:48" x14ac:dyDescent="0.25">
      <c r="A577" s="30"/>
      <c r="B577" s="30"/>
      <c r="C577" s="31"/>
      <c r="D577" s="31"/>
      <c r="E577" s="31"/>
      <c r="F577" s="32"/>
      <c r="G577" s="32"/>
      <c r="H577" s="32"/>
      <c r="I577" s="11"/>
      <c r="J577" s="12"/>
      <c r="K577" s="12"/>
      <c r="L577" s="12"/>
      <c r="M577" s="12"/>
      <c r="N577" s="12"/>
      <c r="O577" s="524"/>
    </row>
    <row r="578" spans="1:48" s="48" customFormat="1" x14ac:dyDescent="0.25">
      <c r="A578" s="35"/>
      <c r="B578" s="36"/>
      <c r="C578" s="23"/>
      <c r="D578" s="24"/>
      <c r="E578" s="23"/>
      <c r="F578" s="25"/>
      <c r="G578" s="25"/>
      <c r="H578" s="25"/>
      <c r="I578" s="11"/>
      <c r="J578" s="12"/>
      <c r="K578" s="12"/>
      <c r="L578" s="12"/>
      <c r="M578" s="12"/>
      <c r="N578" s="12"/>
      <c r="O578" s="524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</row>
    <row r="579" spans="1:48" s="48" customFormat="1" x14ac:dyDescent="0.25">
      <c r="A579" s="35"/>
      <c r="B579" s="36"/>
      <c r="C579" s="23"/>
      <c r="D579" s="24"/>
      <c r="E579" s="23"/>
      <c r="F579" s="25"/>
      <c r="G579" s="25"/>
      <c r="H579" s="25"/>
      <c r="I579" s="11"/>
      <c r="J579" s="12"/>
      <c r="K579" s="12"/>
      <c r="L579" s="12"/>
      <c r="M579" s="12"/>
      <c r="N579" s="12"/>
      <c r="O579" s="524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</row>
    <row r="580" spans="1:48" s="48" customFormat="1" x14ac:dyDescent="0.25">
      <c r="A580" s="35"/>
      <c r="B580" s="36"/>
      <c r="C580" s="23"/>
      <c r="D580" s="24"/>
      <c r="E580" s="23"/>
      <c r="F580" s="25"/>
      <c r="G580" s="25"/>
      <c r="H580" s="25"/>
      <c r="I580" s="11"/>
      <c r="J580" s="12"/>
      <c r="K580" s="12"/>
      <c r="L580" s="12"/>
      <c r="M580" s="12"/>
      <c r="N580" s="12"/>
      <c r="O580" s="524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</row>
    <row r="581" spans="1:48" x14ac:dyDescent="0.25">
      <c r="A581" s="35"/>
      <c r="B581" s="36"/>
      <c r="C581" s="23"/>
      <c r="D581" s="24"/>
      <c r="E581" s="23"/>
      <c r="F581" s="25"/>
      <c r="G581" s="25"/>
      <c r="H581" s="25"/>
      <c r="I581" s="11"/>
      <c r="J581" s="12"/>
      <c r="K581" s="12"/>
      <c r="L581" s="12"/>
      <c r="M581" s="12"/>
      <c r="N581" s="12"/>
      <c r="O581" s="524"/>
    </row>
    <row r="582" spans="1:48" x14ac:dyDescent="0.25">
      <c r="A582" s="30"/>
      <c r="B582" s="30"/>
      <c r="C582" s="31"/>
      <c r="D582" s="31"/>
      <c r="E582" s="31"/>
      <c r="F582" s="32"/>
      <c r="G582" s="32"/>
      <c r="H582" s="32"/>
      <c r="I582" s="11"/>
      <c r="J582" s="12"/>
      <c r="K582" s="12"/>
      <c r="L582" s="12"/>
      <c r="M582" s="12"/>
      <c r="N582" s="12"/>
      <c r="O582" s="524"/>
    </row>
    <row r="583" spans="1:48" x14ac:dyDescent="0.25">
      <c r="A583" s="35"/>
      <c r="B583" s="36"/>
      <c r="C583" s="23"/>
      <c r="D583" s="24"/>
      <c r="E583" s="23"/>
      <c r="F583" s="25"/>
      <c r="G583" s="25"/>
      <c r="H583" s="25"/>
      <c r="I583" s="11"/>
      <c r="J583" s="12"/>
      <c r="K583" s="12"/>
      <c r="L583" s="12"/>
      <c r="M583" s="12"/>
      <c r="N583" s="12"/>
      <c r="O583" s="524"/>
    </row>
    <row r="584" spans="1:48" x14ac:dyDescent="0.25">
      <c r="A584" s="35"/>
      <c r="B584" s="36"/>
      <c r="C584" s="23"/>
      <c r="D584" s="24"/>
      <c r="E584" s="23"/>
      <c r="F584" s="25"/>
      <c r="G584" s="25"/>
      <c r="H584" s="25"/>
      <c r="I584" s="11"/>
      <c r="J584" s="12"/>
      <c r="K584" s="12"/>
      <c r="L584" s="12"/>
      <c r="M584" s="12"/>
      <c r="N584" s="12"/>
      <c r="O584" s="524"/>
    </row>
    <row r="585" spans="1:48" x14ac:dyDescent="0.25">
      <c r="A585" s="35"/>
      <c r="B585" s="36"/>
      <c r="C585" s="23"/>
      <c r="D585" s="24"/>
      <c r="E585" s="23"/>
      <c r="F585" s="25"/>
      <c r="G585" s="25"/>
      <c r="H585" s="25"/>
      <c r="I585" s="11"/>
      <c r="J585" s="12"/>
      <c r="K585" s="12"/>
      <c r="L585" s="12"/>
      <c r="M585" s="12"/>
      <c r="N585" s="12"/>
      <c r="O585" s="524"/>
    </row>
    <row r="586" spans="1:48" ht="20.25" customHeight="1" x14ac:dyDescent="0.25">
      <c r="A586" s="35"/>
      <c r="B586" s="36"/>
      <c r="C586" s="23"/>
      <c r="D586" s="24"/>
      <c r="E586" s="23"/>
      <c r="F586" s="25"/>
      <c r="G586" s="25"/>
      <c r="H586" s="25"/>
      <c r="I586" s="11"/>
      <c r="J586" s="12"/>
      <c r="K586" s="12"/>
      <c r="L586" s="12"/>
      <c r="M586" s="12"/>
      <c r="N586" s="12"/>
      <c r="O586" s="524"/>
    </row>
    <row r="587" spans="1:48" ht="20.25" customHeight="1" x14ac:dyDescent="0.25">
      <c r="A587" s="30"/>
      <c r="B587" s="30"/>
      <c r="C587" s="31"/>
      <c r="D587" s="31"/>
      <c r="E587" s="31"/>
      <c r="F587" s="32"/>
      <c r="G587" s="32"/>
      <c r="H587" s="32"/>
      <c r="I587" s="11"/>
      <c r="J587" s="12"/>
      <c r="K587" s="12"/>
      <c r="L587" s="12"/>
      <c r="M587" s="12"/>
      <c r="N587" s="12"/>
      <c r="O587" s="524"/>
    </row>
    <row r="588" spans="1:48" ht="19.5" customHeight="1" x14ac:dyDescent="0.25">
      <c r="A588" s="35"/>
      <c r="B588" s="36"/>
      <c r="C588" s="23"/>
      <c r="D588" s="24"/>
      <c r="E588" s="23"/>
      <c r="F588" s="25"/>
      <c r="G588" s="25"/>
      <c r="H588" s="25"/>
      <c r="I588" s="11"/>
      <c r="J588" s="12"/>
      <c r="K588" s="12"/>
      <c r="L588" s="12"/>
      <c r="M588" s="12"/>
      <c r="N588" s="12"/>
      <c r="O588" s="524"/>
    </row>
    <row r="589" spans="1:48" ht="19.5" customHeight="1" x14ac:dyDescent="0.25">
      <c r="A589" s="35"/>
      <c r="B589" s="36"/>
      <c r="C589" s="23"/>
      <c r="D589" s="24"/>
      <c r="E589" s="23"/>
      <c r="F589" s="25"/>
      <c r="G589" s="25"/>
      <c r="H589" s="25"/>
      <c r="I589" s="11"/>
      <c r="J589" s="12"/>
      <c r="K589" s="12"/>
      <c r="L589" s="12"/>
      <c r="M589" s="12"/>
      <c r="N589" s="12"/>
      <c r="O589" s="524"/>
    </row>
    <row r="590" spans="1:48" ht="41.25" customHeight="1" x14ac:dyDescent="0.25">
      <c r="A590" s="35"/>
      <c r="B590" s="36"/>
      <c r="C590" s="23"/>
      <c r="D590" s="24"/>
      <c r="E590" s="23"/>
      <c r="F590" s="25"/>
      <c r="G590" s="25"/>
      <c r="H590" s="25"/>
      <c r="I590" s="11"/>
      <c r="J590" s="12"/>
      <c r="K590" s="12"/>
      <c r="L590" s="12"/>
      <c r="M590" s="12"/>
      <c r="N590" s="12"/>
      <c r="O590" s="524"/>
    </row>
    <row r="591" spans="1:48" ht="31.5" customHeight="1" x14ac:dyDescent="0.25">
      <c r="A591" s="35"/>
      <c r="B591" s="36"/>
      <c r="C591" s="23"/>
      <c r="D591" s="24"/>
      <c r="E591" s="23"/>
      <c r="F591" s="25"/>
      <c r="G591" s="25"/>
      <c r="H591" s="25"/>
      <c r="I591" s="11"/>
      <c r="J591" s="12"/>
      <c r="K591" s="12"/>
      <c r="L591" s="12"/>
      <c r="M591" s="12"/>
      <c r="N591" s="12"/>
      <c r="O591" s="524"/>
    </row>
    <row r="592" spans="1:48" ht="20.25" customHeight="1" x14ac:dyDescent="0.25">
      <c r="A592" s="30"/>
      <c r="B592" s="30"/>
      <c r="C592" s="31"/>
      <c r="D592" s="31"/>
      <c r="E592" s="31"/>
      <c r="F592" s="32"/>
      <c r="G592" s="32"/>
      <c r="H592" s="32"/>
      <c r="I592" s="11"/>
      <c r="J592" s="12"/>
      <c r="K592" s="12"/>
      <c r="L592" s="12"/>
      <c r="M592" s="12"/>
      <c r="N592" s="12"/>
      <c r="O592" s="524"/>
    </row>
    <row r="593" spans="1:15" ht="20.25" customHeight="1" x14ac:dyDescent="0.25">
      <c r="A593" s="35"/>
      <c r="B593" s="36"/>
      <c r="C593" s="23"/>
      <c r="D593" s="33"/>
      <c r="E593" s="23"/>
      <c r="F593" s="25"/>
      <c r="G593" s="25"/>
      <c r="H593" s="25"/>
      <c r="I593" s="11"/>
      <c r="J593" s="12"/>
      <c r="K593" s="12"/>
      <c r="L593" s="12"/>
      <c r="M593" s="12"/>
      <c r="N593" s="12"/>
      <c r="O593" s="524"/>
    </row>
    <row r="594" spans="1:15" ht="20.25" customHeight="1" x14ac:dyDescent="0.25">
      <c r="A594" s="35"/>
      <c r="B594" s="36"/>
      <c r="C594" s="23"/>
      <c r="D594" s="33"/>
      <c r="E594" s="23"/>
      <c r="F594" s="25"/>
      <c r="G594" s="25"/>
      <c r="H594" s="25"/>
      <c r="I594" s="11"/>
      <c r="J594" s="12"/>
      <c r="K594" s="12"/>
      <c r="L594" s="12"/>
      <c r="M594" s="12"/>
      <c r="N594" s="12"/>
      <c r="O594" s="524"/>
    </row>
    <row r="595" spans="1:15" ht="20.25" customHeight="1" x14ac:dyDescent="0.25">
      <c r="A595" s="35"/>
      <c r="B595" s="36"/>
      <c r="C595" s="23"/>
      <c r="D595" s="24"/>
      <c r="E595" s="23"/>
      <c r="F595" s="25"/>
      <c r="G595" s="25"/>
      <c r="H595" s="25"/>
      <c r="I595" s="11"/>
      <c r="J595" s="12"/>
      <c r="K595" s="12"/>
      <c r="L595" s="12"/>
      <c r="M595" s="12"/>
      <c r="N595" s="12"/>
      <c r="O595" s="524"/>
    </row>
    <row r="596" spans="1:15" ht="19.5" customHeight="1" x14ac:dyDescent="0.25">
      <c r="A596" s="35"/>
      <c r="B596" s="36"/>
      <c r="C596" s="23"/>
      <c r="D596" s="24"/>
      <c r="E596" s="23"/>
      <c r="F596" s="25"/>
      <c r="G596" s="25"/>
      <c r="H596" s="25"/>
      <c r="I596" s="11"/>
      <c r="J596" s="12"/>
      <c r="K596" s="12"/>
      <c r="L596" s="12"/>
      <c r="M596" s="12"/>
      <c r="N596" s="12"/>
      <c r="O596" s="524"/>
    </row>
    <row r="597" spans="1:15" x14ac:dyDescent="0.25">
      <c r="A597" s="30"/>
      <c r="B597" s="30"/>
      <c r="C597" s="31"/>
      <c r="D597" s="31"/>
      <c r="E597" s="31"/>
      <c r="F597" s="32"/>
      <c r="G597" s="32"/>
      <c r="H597" s="32"/>
      <c r="I597" s="11"/>
      <c r="J597" s="12"/>
      <c r="K597" s="12"/>
      <c r="L597" s="12"/>
      <c r="M597" s="12"/>
      <c r="N597" s="12"/>
      <c r="O597" s="524"/>
    </row>
    <row r="598" spans="1:15" x14ac:dyDescent="0.25">
      <c r="A598" s="43"/>
      <c r="B598" s="44"/>
      <c r="C598" s="45"/>
      <c r="D598" s="45"/>
      <c r="E598" s="45"/>
      <c r="F598" s="46"/>
      <c r="G598" s="47"/>
      <c r="H598" s="47"/>
      <c r="I598" s="11"/>
      <c r="J598" s="12"/>
      <c r="K598" s="12"/>
      <c r="L598" s="12"/>
      <c r="M598" s="12"/>
      <c r="N598" s="12"/>
      <c r="O598" s="524"/>
    </row>
    <row r="599" spans="1:15" x14ac:dyDescent="0.25">
      <c r="A599" s="17"/>
      <c r="B599" s="50"/>
      <c r="C599" s="19"/>
      <c r="D599" s="20"/>
      <c r="E599" s="19"/>
      <c r="F599" s="21"/>
      <c r="G599" s="21"/>
      <c r="H599" s="21"/>
      <c r="I599" s="11"/>
      <c r="J599" s="12"/>
      <c r="K599" s="12"/>
      <c r="L599" s="12"/>
      <c r="M599" s="12"/>
      <c r="N599" s="12"/>
      <c r="O599" s="524"/>
    </row>
    <row r="600" spans="1:15" x14ac:dyDescent="0.25">
      <c r="A600" s="17"/>
      <c r="B600" s="51"/>
      <c r="C600" s="19"/>
      <c r="D600" s="19"/>
      <c r="E600" s="19"/>
      <c r="F600" s="28"/>
      <c r="G600" s="28"/>
      <c r="H600" s="28"/>
      <c r="I600" s="11"/>
      <c r="J600" s="12"/>
      <c r="K600" s="12"/>
      <c r="L600" s="12"/>
      <c r="M600" s="12"/>
      <c r="N600" s="12"/>
      <c r="O600" s="524"/>
    </row>
    <row r="601" spans="1:15" x14ac:dyDescent="0.25">
      <c r="A601" s="17"/>
      <c r="B601" s="51"/>
      <c r="C601" s="19"/>
      <c r="D601" s="19"/>
      <c r="E601" s="19"/>
      <c r="F601" s="28"/>
      <c r="G601" s="28"/>
      <c r="H601" s="28"/>
      <c r="I601" s="11"/>
      <c r="J601" s="12"/>
      <c r="K601" s="12"/>
      <c r="L601" s="12"/>
      <c r="M601" s="12"/>
      <c r="N601" s="12"/>
      <c r="O601" s="524"/>
    </row>
    <row r="602" spans="1:15" x14ac:dyDescent="0.25">
      <c r="A602" s="17"/>
      <c r="B602" s="51"/>
      <c r="C602" s="19"/>
      <c r="D602" s="19"/>
      <c r="E602" s="19"/>
      <c r="F602" s="28"/>
      <c r="G602" s="28"/>
      <c r="H602" s="28"/>
      <c r="I602" s="11"/>
      <c r="J602" s="12"/>
      <c r="K602" s="12"/>
      <c r="L602" s="12"/>
      <c r="M602" s="12"/>
      <c r="N602" s="12"/>
      <c r="O602" s="524"/>
    </row>
    <row r="603" spans="1:15" x14ac:dyDescent="0.25">
      <c r="A603" s="17"/>
      <c r="B603" s="51"/>
      <c r="C603" s="19"/>
      <c r="D603" s="19"/>
      <c r="E603" s="19"/>
      <c r="F603" s="28"/>
      <c r="G603" s="28"/>
      <c r="H603" s="356"/>
    </row>
    <row r="604" spans="1:15" x14ac:dyDescent="0.25">
      <c r="A604" s="17"/>
      <c r="B604" s="51"/>
      <c r="C604" s="19"/>
      <c r="D604" s="19"/>
      <c r="E604" s="19"/>
      <c r="F604" s="28"/>
      <c r="G604" s="28"/>
      <c r="H604" s="356"/>
    </row>
    <row r="605" spans="1:15" x14ac:dyDescent="0.25">
      <c r="A605" s="17"/>
      <c r="B605" s="51"/>
      <c r="C605" s="19"/>
      <c r="D605" s="19"/>
      <c r="E605" s="19"/>
      <c r="F605" s="28"/>
      <c r="G605" s="28"/>
      <c r="H605" s="356"/>
    </row>
    <row r="606" spans="1:15" x14ac:dyDescent="0.25">
      <c r="A606" s="17"/>
      <c r="B606" s="51"/>
      <c r="C606" s="19"/>
      <c r="D606" s="19"/>
      <c r="E606" s="19"/>
      <c r="F606" s="28"/>
      <c r="G606" s="28"/>
      <c r="H606" s="356"/>
    </row>
    <row r="607" spans="1:15" x14ac:dyDescent="0.25">
      <c r="A607" s="17"/>
      <c r="B607" s="51"/>
      <c r="C607" s="19"/>
      <c r="D607" s="19"/>
      <c r="E607" s="19"/>
      <c r="F607" s="28"/>
      <c r="G607" s="28"/>
      <c r="H607" s="356"/>
    </row>
    <row r="608" spans="1:15" x14ac:dyDescent="0.25">
      <c r="A608" s="17"/>
      <c r="B608" s="51"/>
      <c r="C608" s="19"/>
      <c r="D608" s="19"/>
      <c r="E608" s="19"/>
      <c r="F608" s="28"/>
      <c r="G608" s="28"/>
      <c r="H608" s="356"/>
    </row>
    <row r="609" spans="1:8" x14ac:dyDescent="0.25">
      <c r="A609" s="17"/>
      <c r="B609" s="51"/>
      <c r="C609" s="19"/>
      <c r="D609" s="19"/>
      <c r="E609" s="19"/>
      <c r="F609" s="28"/>
      <c r="G609" s="28"/>
      <c r="H609" s="356"/>
    </row>
    <row r="610" spans="1:8" x14ac:dyDescent="0.25">
      <c r="A610" s="17"/>
      <c r="B610" s="51"/>
      <c r="C610" s="19"/>
      <c r="D610" s="19"/>
      <c r="E610" s="19"/>
      <c r="F610" s="28"/>
      <c r="G610" s="28"/>
      <c r="H610" s="356"/>
    </row>
    <row r="611" spans="1:8" x14ac:dyDescent="0.25">
      <c r="A611" s="17"/>
      <c r="B611" s="51"/>
      <c r="C611" s="19"/>
      <c r="D611" s="19"/>
      <c r="E611" s="19"/>
      <c r="F611" s="28"/>
      <c r="G611" s="28"/>
      <c r="H611" s="356"/>
    </row>
    <row r="612" spans="1:8" x14ac:dyDescent="0.25">
      <c r="A612" s="17"/>
      <c r="B612" s="51"/>
      <c r="C612" s="19"/>
      <c r="D612" s="19"/>
      <c r="E612" s="19"/>
      <c r="F612" s="28"/>
      <c r="G612" s="28"/>
      <c r="H612" s="356"/>
    </row>
    <row r="613" spans="1:8" x14ac:dyDescent="0.25">
      <c r="A613" s="17"/>
      <c r="B613" s="51"/>
      <c r="C613" s="19"/>
      <c r="D613" s="19"/>
      <c r="E613" s="19"/>
      <c r="F613" s="28"/>
      <c r="G613" s="28"/>
      <c r="H613" s="356"/>
    </row>
    <row r="614" spans="1:8" x14ac:dyDescent="0.25">
      <c r="A614" s="17"/>
      <c r="B614" s="51"/>
      <c r="C614" s="19"/>
      <c r="D614" s="19"/>
      <c r="E614" s="19"/>
      <c r="F614" s="28"/>
      <c r="G614" s="28"/>
      <c r="H614" s="356"/>
    </row>
    <row r="615" spans="1:8" x14ac:dyDescent="0.25">
      <c r="A615" s="17"/>
      <c r="B615" s="51"/>
      <c r="C615" s="19"/>
      <c r="D615" s="19"/>
      <c r="E615" s="19"/>
      <c r="F615" s="28"/>
      <c r="G615" s="28"/>
      <c r="H615" s="356"/>
    </row>
    <row r="616" spans="1:8" x14ac:dyDescent="0.25">
      <c r="A616" s="17"/>
      <c r="B616" s="51"/>
      <c r="C616" s="19"/>
      <c r="D616" s="19"/>
      <c r="E616" s="19"/>
      <c r="F616" s="28"/>
      <c r="G616" s="28"/>
      <c r="H616" s="356"/>
    </row>
    <row r="617" spans="1:8" x14ac:dyDescent="0.25">
      <c r="A617" s="17"/>
      <c r="B617" s="51"/>
      <c r="C617" s="19"/>
      <c r="D617" s="19"/>
      <c r="E617" s="19"/>
      <c r="F617" s="28"/>
      <c r="G617" s="28"/>
      <c r="H617" s="356"/>
    </row>
    <row r="618" spans="1:8" x14ac:dyDescent="0.25">
      <c r="A618" s="17"/>
      <c r="B618" s="51"/>
      <c r="C618" s="19"/>
      <c r="D618" s="19"/>
      <c r="E618" s="19"/>
      <c r="F618" s="28"/>
      <c r="G618" s="28"/>
      <c r="H618" s="356"/>
    </row>
    <row r="619" spans="1:8" x14ac:dyDescent="0.25">
      <c r="A619" s="17"/>
      <c r="B619" s="51"/>
      <c r="C619" s="19"/>
      <c r="D619" s="19"/>
      <c r="E619" s="19"/>
      <c r="F619" s="28"/>
      <c r="G619" s="28"/>
      <c r="H619" s="356"/>
    </row>
    <row r="620" spans="1:8" x14ac:dyDescent="0.25">
      <c r="A620" s="17"/>
      <c r="B620" s="51"/>
      <c r="C620" s="19"/>
      <c r="D620" s="19"/>
      <c r="E620" s="19"/>
      <c r="F620" s="28"/>
      <c r="G620" s="28"/>
      <c r="H620" s="356"/>
    </row>
    <row r="621" spans="1:8" ht="16.5" thickBot="1" x14ac:dyDescent="0.3">
      <c r="A621" s="43"/>
      <c r="B621" s="44"/>
      <c r="C621" s="45"/>
      <c r="D621" s="45"/>
      <c r="E621" s="45"/>
      <c r="F621" s="46"/>
      <c r="G621" s="47"/>
      <c r="H621" s="357"/>
    </row>
    <row r="622" spans="1:8" ht="16.5" thickBot="1" x14ac:dyDescent="0.3">
      <c r="A622" s="52"/>
      <c r="B622" s="53"/>
      <c r="C622" s="54"/>
      <c r="D622" s="55"/>
      <c r="E622" s="54"/>
      <c r="F622" s="56"/>
      <c r="G622" s="57"/>
      <c r="H622" s="358"/>
    </row>
    <row r="623" spans="1:8" x14ac:dyDescent="0.25">
      <c r="A623" s="58"/>
      <c r="B623" s="59"/>
      <c r="C623" s="60"/>
      <c r="D623" s="61"/>
      <c r="E623" s="60"/>
      <c r="F623" s="62"/>
      <c r="G623" s="63"/>
      <c r="H623" s="356"/>
    </row>
    <row r="624" spans="1:8" x14ac:dyDescent="0.25">
      <c r="A624" s="17"/>
      <c r="B624" s="51"/>
      <c r="C624" s="19"/>
      <c r="D624" s="64"/>
      <c r="E624" s="19"/>
      <c r="F624" s="65"/>
      <c r="G624" s="28"/>
      <c r="H624" s="356"/>
    </row>
    <row r="625" spans="1:8" x14ac:dyDescent="0.25">
      <c r="A625" s="17"/>
      <c r="B625" s="51"/>
      <c r="C625" s="19"/>
      <c r="D625" s="64"/>
      <c r="E625" s="19"/>
      <c r="F625" s="65"/>
      <c r="G625" s="28"/>
      <c r="H625" s="356"/>
    </row>
    <row r="626" spans="1:8" x14ac:dyDescent="0.25">
      <c r="A626" s="17"/>
      <c r="B626" s="51"/>
      <c r="C626" s="19"/>
      <c r="D626" s="64"/>
      <c r="E626" s="66"/>
      <c r="F626" s="65"/>
      <c r="G626" s="28"/>
      <c r="H626" s="356"/>
    </row>
    <row r="627" spans="1:8" x14ac:dyDescent="0.25">
      <c r="A627" s="17"/>
      <c r="B627" s="51"/>
      <c r="C627" s="19"/>
      <c r="D627" s="64"/>
      <c r="E627" s="66"/>
      <c r="F627" s="65"/>
      <c r="G627" s="28"/>
      <c r="H627" s="356"/>
    </row>
    <row r="628" spans="1:8" x14ac:dyDescent="0.25">
      <c r="A628" s="17"/>
      <c r="B628" s="51"/>
      <c r="C628" s="19"/>
      <c r="D628" s="64"/>
      <c r="E628" s="66"/>
      <c r="F628" s="65"/>
      <c r="G628" s="28"/>
      <c r="H628" s="356"/>
    </row>
    <row r="629" spans="1:8" x14ac:dyDescent="0.25">
      <c r="A629" s="17"/>
      <c r="B629" s="51"/>
      <c r="C629" s="19"/>
      <c r="D629" s="64"/>
      <c r="E629" s="66"/>
      <c r="F629" s="65"/>
      <c r="G629" s="28"/>
      <c r="H629" s="356"/>
    </row>
    <row r="630" spans="1:8" x14ac:dyDescent="0.25">
      <c r="A630" s="17"/>
      <c r="B630" s="51"/>
      <c r="C630" s="19"/>
      <c r="D630" s="64"/>
      <c r="E630" s="66"/>
      <c r="F630" s="65"/>
      <c r="G630" s="28"/>
      <c r="H630" s="356"/>
    </row>
    <row r="631" spans="1:8" x14ac:dyDescent="0.25">
      <c r="A631" s="17"/>
      <c r="B631" s="51"/>
      <c r="C631" s="19"/>
      <c r="D631" s="64"/>
      <c r="E631" s="66"/>
      <c r="F631" s="65"/>
      <c r="G631" s="28"/>
      <c r="H631" s="356"/>
    </row>
    <row r="632" spans="1:8" x14ac:dyDescent="0.25">
      <c r="A632" s="17"/>
      <c r="B632" s="51"/>
      <c r="C632" s="19"/>
      <c r="D632" s="64"/>
      <c r="E632" s="66"/>
      <c r="F632" s="65"/>
      <c r="G632" s="28"/>
      <c r="H632" s="356"/>
    </row>
    <row r="633" spans="1:8" x14ac:dyDescent="0.25">
      <c r="A633" s="17"/>
      <c r="B633" s="20"/>
      <c r="C633" s="19"/>
      <c r="D633" s="64"/>
      <c r="E633" s="66"/>
      <c r="F633" s="65"/>
      <c r="G633" s="28"/>
      <c r="H633" s="356"/>
    </row>
    <row r="634" spans="1:8" x14ac:dyDescent="0.25">
      <c r="A634" s="17"/>
      <c r="B634" s="51"/>
      <c r="C634" s="19"/>
      <c r="D634" s="64"/>
      <c r="E634" s="66"/>
      <c r="F634" s="65"/>
      <c r="G634" s="28"/>
      <c r="H634" s="356"/>
    </row>
    <row r="635" spans="1:8" x14ac:dyDescent="0.25">
      <c r="A635" s="17"/>
      <c r="B635" s="51"/>
      <c r="C635" s="19"/>
      <c r="D635" s="20"/>
      <c r="E635" s="19"/>
      <c r="F635" s="65"/>
      <c r="G635" s="28"/>
      <c r="H635" s="356"/>
    </row>
    <row r="636" spans="1:8" x14ac:dyDescent="0.25">
      <c r="A636" s="43"/>
      <c r="B636" s="44"/>
      <c r="C636" s="45"/>
      <c r="D636" s="45"/>
      <c r="E636" s="45"/>
      <c r="F636" s="46"/>
      <c r="G636" s="47"/>
      <c r="H636" s="357"/>
    </row>
    <row r="637" spans="1:8" x14ac:dyDescent="0.25">
      <c r="A637" s="14"/>
      <c r="B637" s="15"/>
      <c r="C637" s="14"/>
      <c r="D637" s="14"/>
      <c r="E637" s="14"/>
      <c r="F637" s="16"/>
      <c r="G637" s="16"/>
      <c r="H637" s="359"/>
    </row>
    <row r="638" spans="1:8" x14ac:dyDescent="0.25">
      <c r="A638" s="17"/>
      <c r="B638" s="67"/>
      <c r="C638" s="19"/>
      <c r="D638" s="20"/>
      <c r="E638" s="19"/>
      <c r="F638" s="21"/>
      <c r="G638" s="21"/>
      <c r="H638" s="358"/>
    </row>
    <row r="639" spans="1:8" x14ac:dyDescent="0.25">
      <c r="A639" s="35"/>
      <c r="B639" s="36"/>
      <c r="C639" s="23"/>
      <c r="D639" s="24"/>
      <c r="E639" s="23"/>
      <c r="F639" s="25"/>
      <c r="G639" s="25"/>
      <c r="H639" s="40"/>
    </row>
    <row r="640" spans="1:8" x14ac:dyDescent="0.25">
      <c r="A640" s="35"/>
      <c r="B640" s="36"/>
      <c r="C640" s="23"/>
      <c r="D640" s="24"/>
      <c r="E640" s="23"/>
      <c r="F640" s="25"/>
      <c r="G640" s="25"/>
      <c r="H640" s="40"/>
    </row>
    <row r="641" spans="1:8" x14ac:dyDescent="0.25">
      <c r="A641" s="30"/>
      <c r="B641" s="30"/>
      <c r="C641" s="31"/>
      <c r="D641" s="31"/>
      <c r="E641" s="31"/>
      <c r="F641" s="32"/>
      <c r="G641" s="32"/>
      <c r="H641" s="360"/>
    </row>
    <row r="642" spans="1:8" x14ac:dyDescent="0.25">
      <c r="A642" s="35"/>
      <c r="B642" s="36"/>
      <c r="C642" s="23"/>
      <c r="D642" s="24"/>
      <c r="E642" s="23"/>
      <c r="F642" s="25"/>
      <c r="G642" s="25"/>
      <c r="H642" s="40"/>
    </row>
    <row r="643" spans="1:8" x14ac:dyDescent="0.25">
      <c r="A643" s="35"/>
      <c r="B643" s="36"/>
      <c r="C643" s="23"/>
      <c r="D643" s="24"/>
      <c r="E643" s="23"/>
      <c r="F643" s="25"/>
      <c r="G643" s="25"/>
      <c r="H643" s="40"/>
    </row>
    <row r="644" spans="1:8" x14ac:dyDescent="0.25">
      <c r="A644" s="30"/>
      <c r="B644" s="30"/>
      <c r="C644" s="31"/>
      <c r="D644" s="31"/>
      <c r="E644" s="31"/>
      <c r="F644" s="32"/>
      <c r="G644" s="32"/>
      <c r="H644" s="360"/>
    </row>
    <row r="645" spans="1:8" x14ac:dyDescent="0.25">
      <c r="A645" s="35"/>
      <c r="B645" s="36"/>
      <c r="C645" s="23"/>
      <c r="D645" s="24"/>
      <c r="E645" s="23"/>
      <c r="F645" s="25"/>
      <c r="G645" s="25"/>
      <c r="H645" s="40"/>
    </row>
    <row r="646" spans="1:8" x14ac:dyDescent="0.25">
      <c r="A646" s="35"/>
      <c r="B646" s="36"/>
      <c r="C646" s="23"/>
      <c r="D646" s="24"/>
      <c r="E646" s="23"/>
      <c r="F646" s="25"/>
      <c r="G646" s="25"/>
      <c r="H646" s="40"/>
    </row>
    <row r="647" spans="1:8" x14ac:dyDescent="0.25">
      <c r="A647" s="30"/>
      <c r="B647" s="30"/>
      <c r="C647" s="31"/>
      <c r="D647" s="31"/>
      <c r="E647" s="31"/>
      <c r="F647" s="32"/>
      <c r="G647" s="32"/>
      <c r="H647" s="360"/>
    </row>
    <row r="648" spans="1:8" x14ac:dyDescent="0.25">
      <c r="A648" s="35"/>
      <c r="B648" s="36"/>
      <c r="C648" s="23"/>
      <c r="D648" s="24"/>
      <c r="E648" s="23"/>
      <c r="F648" s="25"/>
      <c r="G648" s="25"/>
      <c r="H648" s="40"/>
    </row>
    <row r="649" spans="1:8" x14ac:dyDescent="0.25">
      <c r="A649" s="35"/>
      <c r="B649" s="36"/>
      <c r="C649" s="23"/>
      <c r="D649" s="24"/>
      <c r="E649" s="23"/>
      <c r="F649" s="25"/>
      <c r="G649" s="25"/>
      <c r="H649" s="40"/>
    </row>
    <row r="650" spans="1:8" x14ac:dyDescent="0.25">
      <c r="A650" s="30"/>
      <c r="B650" s="30"/>
      <c r="C650" s="31"/>
      <c r="D650" s="31"/>
      <c r="E650" s="31"/>
      <c r="F650" s="32"/>
      <c r="G650" s="32"/>
      <c r="H650" s="360"/>
    </row>
    <row r="651" spans="1:8" x14ac:dyDescent="0.25">
      <c r="A651" s="35"/>
      <c r="B651" s="36"/>
      <c r="C651" s="23"/>
      <c r="D651" s="24"/>
      <c r="E651" s="23"/>
      <c r="F651" s="25"/>
      <c r="G651" s="25"/>
      <c r="H651" s="40"/>
    </row>
    <row r="652" spans="1:8" x14ac:dyDescent="0.25">
      <c r="A652" s="35"/>
      <c r="B652" s="36"/>
      <c r="C652" s="23"/>
      <c r="D652" s="24"/>
      <c r="E652" s="23"/>
      <c r="F652" s="25"/>
      <c r="G652" s="25"/>
      <c r="H652" s="40"/>
    </row>
    <row r="653" spans="1:8" x14ac:dyDescent="0.25">
      <c r="A653" s="30"/>
      <c r="B653" s="30"/>
      <c r="C653" s="31"/>
      <c r="D653" s="31"/>
      <c r="E653" s="31"/>
      <c r="F653" s="32"/>
      <c r="G653" s="32"/>
      <c r="H653" s="360"/>
    </row>
    <row r="654" spans="1:8" x14ac:dyDescent="0.25">
      <c r="A654" s="35"/>
      <c r="B654" s="36"/>
      <c r="C654" s="23"/>
      <c r="D654" s="24"/>
      <c r="E654" s="23"/>
      <c r="F654" s="25"/>
      <c r="G654" s="25"/>
      <c r="H654" s="40"/>
    </row>
    <row r="655" spans="1:8" x14ac:dyDescent="0.25">
      <c r="A655" s="35"/>
      <c r="B655" s="36"/>
      <c r="C655" s="23"/>
      <c r="D655" s="24"/>
      <c r="E655" s="23"/>
      <c r="F655" s="25"/>
      <c r="G655" s="25"/>
      <c r="H655" s="40"/>
    </row>
    <row r="656" spans="1:8" x14ac:dyDescent="0.25">
      <c r="A656" s="30"/>
      <c r="B656" s="30"/>
      <c r="C656" s="31"/>
      <c r="D656" s="31"/>
      <c r="E656" s="31"/>
      <c r="F656" s="32"/>
      <c r="G656" s="32"/>
      <c r="H656" s="360"/>
    </row>
    <row r="657" spans="1:8" x14ac:dyDescent="0.25">
      <c r="A657" s="35"/>
      <c r="B657" s="36"/>
      <c r="C657" s="23"/>
      <c r="D657" s="24"/>
      <c r="E657" s="23"/>
      <c r="F657" s="25"/>
      <c r="G657" s="25"/>
      <c r="H657" s="40"/>
    </row>
    <row r="658" spans="1:8" x14ac:dyDescent="0.25">
      <c r="A658" s="35"/>
      <c r="B658" s="36"/>
      <c r="C658" s="23"/>
      <c r="D658" s="24"/>
      <c r="E658" s="23"/>
      <c r="F658" s="25"/>
      <c r="G658" s="25"/>
      <c r="H658" s="40"/>
    </row>
    <row r="659" spans="1:8" x14ac:dyDescent="0.25">
      <c r="A659" s="30"/>
      <c r="B659" s="30"/>
      <c r="C659" s="31"/>
      <c r="D659" s="31"/>
      <c r="E659" s="31"/>
      <c r="F659" s="32"/>
      <c r="G659" s="32"/>
      <c r="H659" s="360"/>
    </row>
    <row r="660" spans="1:8" x14ac:dyDescent="0.25">
      <c r="A660" s="35"/>
      <c r="B660" s="36"/>
      <c r="C660" s="23"/>
      <c r="D660" s="24"/>
      <c r="E660" s="23"/>
      <c r="F660" s="25"/>
      <c r="G660" s="25"/>
      <c r="H660" s="40"/>
    </row>
    <row r="661" spans="1:8" x14ac:dyDescent="0.25">
      <c r="A661" s="35"/>
      <c r="B661" s="36"/>
      <c r="C661" s="23"/>
      <c r="D661" s="24"/>
      <c r="E661" s="23"/>
      <c r="F661" s="25"/>
      <c r="G661" s="25"/>
      <c r="H661" s="40"/>
    </row>
    <row r="662" spans="1:8" x14ac:dyDescent="0.25">
      <c r="A662" s="30"/>
      <c r="B662" s="30"/>
      <c r="C662" s="31"/>
      <c r="D662" s="31"/>
      <c r="E662" s="31"/>
      <c r="F662" s="32"/>
      <c r="G662" s="32"/>
      <c r="H662" s="360"/>
    </row>
    <row r="663" spans="1:8" x14ac:dyDescent="0.25">
      <c r="A663" s="35"/>
      <c r="B663" s="36"/>
      <c r="C663" s="23"/>
      <c r="D663" s="24"/>
      <c r="E663" s="23"/>
      <c r="F663" s="25"/>
      <c r="G663" s="25"/>
      <c r="H663" s="40"/>
    </row>
    <row r="664" spans="1:8" x14ac:dyDescent="0.25">
      <c r="A664" s="35"/>
      <c r="B664" s="36"/>
      <c r="C664" s="23"/>
      <c r="D664" s="24"/>
      <c r="E664" s="23"/>
      <c r="F664" s="25"/>
      <c r="G664" s="25"/>
      <c r="H664" s="40"/>
    </row>
    <row r="665" spans="1:8" x14ac:dyDescent="0.25">
      <c r="A665" s="30"/>
      <c r="B665" s="30"/>
      <c r="C665" s="31"/>
      <c r="D665" s="31"/>
      <c r="E665" s="31"/>
      <c r="F665" s="32"/>
      <c r="G665" s="32"/>
      <c r="H665" s="360"/>
    </row>
    <row r="666" spans="1:8" x14ac:dyDescent="0.25">
      <c r="A666" s="35"/>
      <c r="B666" s="36"/>
      <c r="C666" s="23"/>
      <c r="D666" s="24"/>
      <c r="E666" s="23"/>
      <c r="F666" s="25"/>
      <c r="G666" s="25"/>
      <c r="H666" s="40"/>
    </row>
    <row r="667" spans="1:8" x14ac:dyDescent="0.25">
      <c r="A667" s="35"/>
      <c r="B667" s="36"/>
      <c r="C667" s="23"/>
      <c r="D667" s="24"/>
      <c r="E667" s="23"/>
      <c r="F667" s="25"/>
      <c r="G667" s="25"/>
      <c r="H667" s="40"/>
    </row>
    <row r="668" spans="1:8" x14ac:dyDescent="0.25">
      <c r="A668" s="30"/>
      <c r="B668" s="30"/>
      <c r="C668" s="31"/>
      <c r="D668" s="31"/>
      <c r="E668" s="31"/>
      <c r="F668" s="32"/>
      <c r="G668" s="32"/>
      <c r="H668" s="360"/>
    </row>
    <row r="669" spans="1:8" x14ac:dyDescent="0.25">
      <c r="A669" s="35"/>
      <c r="B669" s="36"/>
      <c r="C669" s="23"/>
      <c r="D669" s="24"/>
      <c r="E669" s="23"/>
      <c r="F669" s="25"/>
      <c r="G669" s="25"/>
      <c r="H669" s="40"/>
    </row>
    <row r="670" spans="1:8" x14ac:dyDescent="0.25">
      <c r="A670" s="35"/>
      <c r="B670" s="36"/>
      <c r="C670" s="23"/>
      <c r="D670" s="24"/>
      <c r="E670" s="23"/>
      <c r="F670" s="25"/>
      <c r="G670" s="25"/>
      <c r="H670" s="40"/>
    </row>
    <row r="671" spans="1:8" ht="16.5" customHeight="1" x14ac:dyDescent="0.25">
      <c r="A671" s="30"/>
      <c r="B671" s="30"/>
      <c r="C671" s="31"/>
      <c r="D671" s="31"/>
      <c r="E671" s="31"/>
      <c r="F671" s="32"/>
      <c r="G671" s="32"/>
      <c r="H671" s="360"/>
    </row>
    <row r="672" spans="1:8" ht="16.5" customHeight="1" x14ac:dyDescent="0.25">
      <c r="A672" s="43"/>
      <c r="B672" s="44"/>
      <c r="C672" s="45"/>
      <c r="D672" s="45"/>
      <c r="E672" s="45"/>
      <c r="F672" s="46"/>
      <c r="G672" s="47"/>
      <c r="H672" s="357"/>
    </row>
    <row r="673" spans="1:8" x14ac:dyDescent="0.25">
      <c r="A673" s="35"/>
      <c r="B673" s="68"/>
      <c r="C673" s="23"/>
      <c r="D673" s="24"/>
      <c r="E673" s="23"/>
      <c r="F673" s="25"/>
      <c r="G673" s="25"/>
      <c r="H673" s="40"/>
    </row>
    <row r="674" spans="1:8" x14ac:dyDescent="0.25">
      <c r="A674" s="35"/>
      <c r="B674" s="36"/>
      <c r="C674" s="23"/>
      <c r="D674" s="24"/>
      <c r="E674" s="23"/>
      <c r="F674" s="25"/>
      <c r="G674" s="25"/>
      <c r="H674" s="40"/>
    </row>
    <row r="675" spans="1:8" x14ac:dyDescent="0.25">
      <c r="A675" s="35"/>
      <c r="B675" s="36"/>
      <c r="C675" s="23"/>
      <c r="D675" s="24"/>
      <c r="E675" s="23"/>
      <c r="F675" s="25"/>
      <c r="G675" s="25"/>
      <c r="H675" s="40"/>
    </row>
    <row r="676" spans="1:8" x14ac:dyDescent="0.25">
      <c r="A676" s="35"/>
      <c r="B676" s="36"/>
      <c r="C676" s="23"/>
      <c r="D676" s="24"/>
      <c r="E676" s="23"/>
      <c r="F676" s="25"/>
      <c r="G676" s="25"/>
      <c r="H676" s="40"/>
    </row>
    <row r="677" spans="1:8" x14ac:dyDescent="0.25">
      <c r="A677" s="35"/>
      <c r="B677" s="36"/>
      <c r="C677" s="23"/>
      <c r="D677" s="24"/>
      <c r="E677" s="23"/>
      <c r="F677" s="25"/>
      <c r="G677" s="25"/>
      <c r="H677" s="40"/>
    </row>
    <row r="678" spans="1:8" x14ac:dyDescent="0.25">
      <c r="A678" s="35"/>
      <c r="B678" s="36"/>
      <c r="C678" s="23"/>
      <c r="D678" s="24"/>
      <c r="E678" s="23"/>
      <c r="F678" s="25"/>
      <c r="G678" s="25"/>
      <c r="H678" s="40"/>
    </row>
    <row r="679" spans="1:8" x14ac:dyDescent="0.25">
      <c r="A679" s="35"/>
      <c r="B679" s="36"/>
      <c r="C679" s="23"/>
      <c r="D679" s="24"/>
      <c r="E679" s="23"/>
      <c r="F679" s="25"/>
      <c r="G679" s="25"/>
      <c r="H679" s="40"/>
    </row>
    <row r="680" spans="1:8" x14ac:dyDescent="0.25">
      <c r="A680" s="35"/>
      <c r="B680" s="36"/>
      <c r="C680" s="23"/>
      <c r="D680" s="24"/>
      <c r="E680" s="23"/>
      <c r="F680" s="25"/>
      <c r="G680" s="25"/>
      <c r="H680" s="40"/>
    </row>
    <row r="681" spans="1:8" x14ac:dyDescent="0.25">
      <c r="A681" s="30"/>
      <c r="B681" s="30"/>
      <c r="C681" s="31"/>
      <c r="D681" s="31"/>
      <c r="E681" s="31"/>
      <c r="F681" s="32"/>
      <c r="G681" s="32"/>
      <c r="H681" s="360"/>
    </row>
    <row r="682" spans="1:8" x14ac:dyDescent="0.25">
      <c r="A682" s="35"/>
      <c r="B682" s="36"/>
      <c r="C682" s="23"/>
      <c r="D682" s="24"/>
      <c r="E682" s="23"/>
      <c r="F682" s="25"/>
      <c r="G682" s="25"/>
      <c r="H682" s="40"/>
    </row>
    <row r="683" spans="1:8" x14ac:dyDescent="0.25">
      <c r="A683" s="35"/>
      <c r="B683" s="36"/>
      <c r="C683" s="23"/>
      <c r="D683" s="24"/>
      <c r="E683" s="23"/>
      <c r="F683" s="25"/>
      <c r="G683" s="25"/>
      <c r="H683" s="40"/>
    </row>
    <row r="684" spans="1:8" x14ac:dyDescent="0.25">
      <c r="A684" s="35"/>
      <c r="B684" s="36"/>
      <c r="C684" s="23"/>
      <c r="D684" s="24"/>
      <c r="E684" s="23"/>
      <c r="F684" s="25"/>
      <c r="G684" s="25"/>
      <c r="H684" s="40"/>
    </row>
    <row r="685" spans="1:8" x14ac:dyDescent="0.25">
      <c r="A685" s="35"/>
      <c r="B685" s="36"/>
      <c r="C685" s="23"/>
      <c r="D685" s="24"/>
      <c r="E685" s="23"/>
      <c r="F685" s="25"/>
      <c r="G685" s="25"/>
      <c r="H685" s="40"/>
    </row>
    <row r="686" spans="1:8" x14ac:dyDescent="0.25">
      <c r="A686" s="35"/>
      <c r="B686" s="36"/>
      <c r="C686" s="23"/>
      <c r="D686" s="24"/>
      <c r="E686" s="23"/>
      <c r="F686" s="25"/>
      <c r="G686" s="25"/>
      <c r="H686" s="40"/>
    </row>
    <row r="687" spans="1:8" x14ac:dyDescent="0.25">
      <c r="A687" s="35"/>
      <c r="B687" s="36"/>
      <c r="C687" s="23"/>
      <c r="D687" s="24"/>
      <c r="E687" s="23"/>
      <c r="F687" s="25"/>
      <c r="G687" s="25"/>
      <c r="H687" s="40"/>
    </row>
    <row r="688" spans="1:8" x14ac:dyDescent="0.25">
      <c r="A688" s="35"/>
      <c r="B688" s="36"/>
      <c r="C688" s="23"/>
      <c r="D688" s="24"/>
      <c r="E688" s="23"/>
      <c r="F688" s="25"/>
      <c r="G688" s="25"/>
      <c r="H688" s="40"/>
    </row>
    <row r="689" spans="1:8" x14ac:dyDescent="0.25">
      <c r="A689" s="30"/>
      <c r="B689" s="30"/>
      <c r="C689" s="31"/>
      <c r="D689" s="31"/>
      <c r="E689" s="31"/>
      <c r="F689" s="32"/>
      <c r="G689" s="32"/>
      <c r="H689" s="360"/>
    </row>
    <row r="690" spans="1:8" x14ac:dyDescent="0.25">
      <c r="A690" s="35"/>
      <c r="B690" s="36"/>
      <c r="C690" s="23"/>
      <c r="D690" s="24"/>
      <c r="E690" s="23"/>
      <c r="F690" s="25"/>
      <c r="G690" s="25"/>
      <c r="H690" s="40"/>
    </row>
    <row r="691" spans="1:8" x14ac:dyDescent="0.25">
      <c r="A691" s="35"/>
      <c r="B691" s="36"/>
      <c r="C691" s="23"/>
      <c r="D691" s="24"/>
      <c r="E691" s="23"/>
      <c r="F691" s="25"/>
      <c r="G691" s="25"/>
      <c r="H691" s="40"/>
    </row>
    <row r="692" spans="1:8" x14ac:dyDescent="0.25">
      <c r="A692" s="35"/>
      <c r="B692" s="36"/>
      <c r="C692" s="23"/>
      <c r="D692" s="24"/>
      <c r="E692" s="23"/>
      <c r="F692" s="25"/>
      <c r="G692" s="25"/>
      <c r="H692" s="40"/>
    </row>
    <row r="693" spans="1:8" x14ac:dyDescent="0.25">
      <c r="A693" s="35"/>
      <c r="B693" s="36"/>
      <c r="C693" s="23"/>
      <c r="D693" s="24"/>
      <c r="E693" s="23"/>
      <c r="F693" s="25"/>
      <c r="G693" s="25"/>
      <c r="H693" s="40"/>
    </row>
    <row r="694" spans="1:8" x14ac:dyDescent="0.25">
      <c r="A694" s="35"/>
      <c r="B694" s="36"/>
      <c r="C694" s="23"/>
      <c r="D694" s="24"/>
      <c r="E694" s="23"/>
      <c r="F694" s="25"/>
      <c r="G694" s="25"/>
      <c r="H694" s="40"/>
    </row>
    <row r="695" spans="1:8" x14ac:dyDescent="0.25">
      <c r="A695" s="35"/>
      <c r="B695" s="36"/>
      <c r="C695" s="23"/>
      <c r="D695" s="24"/>
      <c r="E695" s="23"/>
      <c r="F695" s="25"/>
      <c r="G695" s="25"/>
      <c r="H695" s="40"/>
    </row>
    <row r="696" spans="1:8" x14ac:dyDescent="0.25">
      <c r="A696" s="35"/>
      <c r="B696" s="36"/>
      <c r="C696" s="23"/>
      <c r="D696" s="24"/>
      <c r="E696" s="23"/>
      <c r="F696" s="25"/>
      <c r="G696" s="25"/>
      <c r="H696" s="40"/>
    </row>
    <row r="697" spans="1:8" x14ac:dyDescent="0.25">
      <c r="A697" s="30"/>
      <c r="B697" s="30"/>
      <c r="C697" s="31"/>
      <c r="D697" s="31"/>
      <c r="E697" s="31"/>
      <c r="F697" s="32"/>
      <c r="G697" s="32"/>
      <c r="H697" s="360"/>
    </row>
    <row r="698" spans="1:8" x14ac:dyDescent="0.25">
      <c r="A698" s="35"/>
      <c r="B698" s="36"/>
      <c r="C698" s="23"/>
      <c r="D698" s="24"/>
      <c r="E698" s="23"/>
      <c r="F698" s="25"/>
      <c r="G698" s="25"/>
      <c r="H698" s="40"/>
    </row>
    <row r="699" spans="1:8" x14ac:dyDescent="0.25">
      <c r="A699" s="35"/>
      <c r="B699" s="36"/>
      <c r="C699" s="23"/>
      <c r="D699" s="24"/>
      <c r="E699" s="23"/>
      <c r="F699" s="25"/>
      <c r="G699" s="25"/>
      <c r="H699" s="40"/>
    </row>
    <row r="700" spans="1:8" x14ac:dyDescent="0.25">
      <c r="A700" s="35"/>
      <c r="B700" s="36"/>
      <c r="C700" s="23"/>
      <c r="D700" s="24"/>
      <c r="E700" s="23"/>
      <c r="F700" s="25"/>
      <c r="G700" s="25"/>
      <c r="H700" s="40"/>
    </row>
    <row r="701" spans="1:8" x14ac:dyDescent="0.25">
      <c r="A701" s="35"/>
      <c r="B701" s="36"/>
      <c r="C701" s="23"/>
      <c r="D701" s="24"/>
      <c r="E701" s="23"/>
      <c r="F701" s="25"/>
      <c r="G701" s="25"/>
      <c r="H701" s="40"/>
    </row>
    <row r="702" spans="1:8" x14ac:dyDescent="0.25">
      <c r="A702" s="35"/>
      <c r="B702" s="36"/>
      <c r="C702" s="23"/>
      <c r="D702" s="24"/>
      <c r="E702" s="23"/>
      <c r="F702" s="25"/>
      <c r="G702" s="25"/>
      <c r="H702" s="40"/>
    </row>
    <row r="703" spans="1:8" x14ac:dyDescent="0.25">
      <c r="A703" s="35"/>
      <c r="B703" s="36"/>
      <c r="C703" s="23"/>
      <c r="D703" s="24"/>
      <c r="E703" s="23"/>
      <c r="F703" s="25"/>
      <c r="G703" s="25"/>
      <c r="H703" s="40"/>
    </row>
    <row r="704" spans="1:8" x14ac:dyDescent="0.25">
      <c r="A704" s="35"/>
      <c r="B704" s="36"/>
      <c r="C704" s="23"/>
      <c r="D704" s="24"/>
      <c r="E704" s="23"/>
      <c r="F704" s="25"/>
      <c r="G704" s="25"/>
      <c r="H704" s="40"/>
    </row>
    <row r="705" spans="1:8" x14ac:dyDescent="0.25">
      <c r="A705" s="30"/>
      <c r="B705" s="30"/>
      <c r="C705" s="31"/>
      <c r="D705" s="31"/>
      <c r="E705" s="31"/>
      <c r="F705" s="32"/>
      <c r="G705" s="32"/>
      <c r="H705" s="360"/>
    </row>
    <row r="706" spans="1:8" x14ac:dyDescent="0.25">
      <c r="A706" s="35"/>
      <c r="B706" s="36"/>
      <c r="C706" s="23"/>
      <c r="D706" s="24"/>
      <c r="E706" s="23"/>
      <c r="F706" s="25"/>
      <c r="G706" s="25"/>
      <c r="H706" s="40"/>
    </row>
    <row r="707" spans="1:8" x14ac:dyDescent="0.25">
      <c r="A707" s="35"/>
      <c r="B707" s="36"/>
      <c r="C707" s="23"/>
      <c r="D707" s="24"/>
      <c r="E707" s="23"/>
      <c r="F707" s="25"/>
      <c r="G707" s="25"/>
      <c r="H707" s="40"/>
    </row>
    <row r="708" spans="1:8" x14ac:dyDescent="0.25">
      <c r="A708" s="35"/>
      <c r="B708" s="36"/>
      <c r="C708" s="23"/>
      <c r="D708" s="24"/>
      <c r="E708" s="23"/>
      <c r="F708" s="25"/>
      <c r="G708" s="25"/>
      <c r="H708" s="40"/>
    </row>
    <row r="709" spans="1:8" x14ac:dyDescent="0.25">
      <c r="A709" s="35"/>
      <c r="B709" s="36"/>
      <c r="C709" s="23"/>
      <c r="D709" s="24"/>
      <c r="E709" s="23"/>
      <c r="F709" s="25"/>
      <c r="G709" s="25"/>
      <c r="H709" s="40"/>
    </row>
    <row r="710" spans="1:8" x14ac:dyDescent="0.25">
      <c r="A710" s="35"/>
      <c r="B710" s="36"/>
      <c r="C710" s="23"/>
      <c r="D710" s="24"/>
      <c r="E710" s="23"/>
      <c r="F710" s="25"/>
      <c r="G710" s="25"/>
      <c r="H710" s="40"/>
    </row>
    <row r="711" spans="1:8" x14ac:dyDescent="0.25">
      <c r="A711" s="35"/>
      <c r="B711" s="36"/>
      <c r="C711" s="23"/>
      <c r="D711" s="24"/>
      <c r="E711" s="23"/>
      <c r="F711" s="25"/>
      <c r="G711" s="25"/>
      <c r="H711" s="40"/>
    </row>
    <row r="712" spans="1:8" x14ac:dyDescent="0.25">
      <c r="A712" s="35"/>
      <c r="B712" s="36"/>
      <c r="C712" s="23"/>
      <c r="D712" s="24"/>
      <c r="E712" s="23"/>
      <c r="F712" s="25"/>
      <c r="G712" s="25"/>
      <c r="H712" s="40"/>
    </row>
    <row r="713" spans="1:8" x14ac:dyDescent="0.25">
      <c r="A713" s="30"/>
      <c r="B713" s="30"/>
      <c r="C713" s="31"/>
      <c r="D713" s="31"/>
      <c r="E713" s="31"/>
      <c r="F713" s="32"/>
      <c r="G713" s="32"/>
      <c r="H713" s="360"/>
    </row>
    <row r="714" spans="1:8" x14ac:dyDescent="0.25">
      <c r="A714" s="35"/>
      <c r="B714" s="36"/>
      <c r="C714" s="23"/>
      <c r="D714" s="24"/>
      <c r="E714" s="23"/>
      <c r="F714" s="25"/>
      <c r="G714" s="25"/>
      <c r="H714" s="40"/>
    </row>
    <row r="715" spans="1:8" x14ac:dyDescent="0.25">
      <c r="A715" s="35"/>
      <c r="B715" s="36"/>
      <c r="C715" s="23"/>
      <c r="D715" s="24"/>
      <c r="E715" s="23"/>
      <c r="F715" s="25"/>
      <c r="G715" s="25"/>
      <c r="H715" s="40"/>
    </row>
    <row r="716" spans="1:8" x14ac:dyDescent="0.25">
      <c r="A716" s="35"/>
      <c r="B716" s="36"/>
      <c r="C716" s="23"/>
      <c r="D716" s="24"/>
      <c r="E716" s="23"/>
      <c r="F716" s="25"/>
      <c r="G716" s="25"/>
      <c r="H716" s="40"/>
    </row>
    <row r="717" spans="1:8" x14ac:dyDescent="0.25">
      <c r="A717" s="35"/>
      <c r="B717" s="36"/>
      <c r="C717" s="23"/>
      <c r="D717" s="24"/>
      <c r="E717" s="23"/>
      <c r="F717" s="25"/>
      <c r="G717" s="25"/>
      <c r="H717" s="40"/>
    </row>
    <row r="718" spans="1:8" x14ac:dyDescent="0.25">
      <c r="A718" s="35"/>
      <c r="B718" s="36"/>
      <c r="C718" s="23"/>
      <c r="D718" s="24"/>
      <c r="E718" s="23"/>
      <c r="F718" s="25"/>
      <c r="G718" s="25"/>
      <c r="H718" s="40"/>
    </row>
    <row r="719" spans="1:8" x14ac:dyDescent="0.25">
      <c r="A719" s="35"/>
      <c r="B719" s="36"/>
      <c r="C719" s="23"/>
      <c r="D719" s="24"/>
      <c r="E719" s="23"/>
      <c r="F719" s="25"/>
      <c r="G719" s="25"/>
      <c r="H719" s="40"/>
    </row>
    <row r="720" spans="1:8" x14ac:dyDescent="0.25">
      <c r="A720" s="35"/>
      <c r="B720" s="36"/>
      <c r="C720" s="23"/>
      <c r="D720" s="24"/>
      <c r="E720" s="23"/>
      <c r="F720" s="25"/>
      <c r="G720" s="25"/>
      <c r="H720" s="40"/>
    </row>
    <row r="721" spans="1:8" x14ac:dyDescent="0.25">
      <c r="A721" s="30"/>
      <c r="B721" s="30"/>
      <c r="C721" s="31"/>
      <c r="D721" s="31"/>
      <c r="E721" s="31"/>
      <c r="F721" s="32"/>
      <c r="G721" s="32"/>
      <c r="H721" s="360"/>
    </row>
    <row r="722" spans="1:8" x14ac:dyDescent="0.25">
      <c r="A722" s="35"/>
      <c r="B722" s="36"/>
      <c r="C722" s="23"/>
      <c r="D722" s="24"/>
      <c r="E722" s="23"/>
      <c r="F722" s="25"/>
      <c r="G722" s="25"/>
      <c r="H722" s="40"/>
    </row>
    <row r="723" spans="1:8" x14ac:dyDescent="0.25">
      <c r="A723" s="35"/>
      <c r="B723" s="36"/>
      <c r="C723" s="23"/>
      <c r="D723" s="24"/>
      <c r="E723" s="23"/>
      <c r="F723" s="25"/>
      <c r="G723" s="25"/>
      <c r="H723" s="40"/>
    </row>
    <row r="724" spans="1:8" x14ac:dyDescent="0.25">
      <c r="A724" s="35"/>
      <c r="B724" s="36"/>
      <c r="C724" s="23"/>
      <c r="D724" s="24"/>
      <c r="E724" s="23"/>
      <c r="F724" s="25"/>
      <c r="G724" s="25"/>
      <c r="H724" s="40"/>
    </row>
    <row r="725" spans="1:8" x14ac:dyDescent="0.25">
      <c r="A725" s="35"/>
      <c r="B725" s="36"/>
      <c r="C725" s="23"/>
      <c r="D725" s="24"/>
      <c r="E725" s="23"/>
      <c r="F725" s="25"/>
      <c r="G725" s="25"/>
      <c r="H725" s="40"/>
    </row>
    <row r="726" spans="1:8" x14ac:dyDescent="0.25">
      <c r="A726" s="35"/>
      <c r="B726" s="36"/>
      <c r="C726" s="23"/>
      <c r="D726" s="24"/>
      <c r="E726" s="23"/>
      <c r="F726" s="25"/>
      <c r="G726" s="25"/>
      <c r="H726" s="40"/>
    </row>
    <row r="727" spans="1:8" x14ac:dyDescent="0.25">
      <c r="A727" s="35"/>
      <c r="B727" s="36"/>
      <c r="C727" s="23"/>
      <c r="D727" s="24"/>
      <c r="E727" s="23"/>
      <c r="F727" s="25"/>
      <c r="G727" s="25"/>
      <c r="H727" s="40"/>
    </row>
    <row r="728" spans="1:8" x14ac:dyDescent="0.25">
      <c r="A728" s="35"/>
      <c r="B728" s="36"/>
      <c r="C728" s="23"/>
      <c r="D728" s="24"/>
      <c r="E728" s="23"/>
      <c r="F728" s="25"/>
      <c r="G728" s="25"/>
      <c r="H728" s="40"/>
    </row>
    <row r="729" spans="1:8" x14ac:dyDescent="0.25">
      <c r="A729" s="30"/>
      <c r="B729" s="30"/>
      <c r="C729" s="31"/>
      <c r="D729" s="31"/>
      <c r="E729" s="31"/>
      <c r="F729" s="32"/>
      <c r="G729" s="32"/>
      <c r="H729" s="360"/>
    </row>
    <row r="730" spans="1:8" x14ac:dyDescent="0.25">
      <c r="A730" s="35"/>
      <c r="B730" s="36"/>
      <c r="C730" s="23"/>
      <c r="D730" s="24"/>
      <c r="E730" s="23"/>
      <c r="F730" s="25"/>
      <c r="G730" s="25"/>
      <c r="H730" s="40"/>
    </row>
    <row r="731" spans="1:8" x14ac:dyDescent="0.25">
      <c r="A731" s="35"/>
      <c r="B731" s="36"/>
      <c r="C731" s="23"/>
      <c r="D731" s="24"/>
      <c r="E731" s="23"/>
      <c r="F731" s="25"/>
      <c r="G731" s="25"/>
      <c r="H731" s="40"/>
    </row>
    <row r="732" spans="1:8" x14ac:dyDescent="0.25">
      <c r="A732" s="35"/>
      <c r="B732" s="36"/>
      <c r="C732" s="23"/>
      <c r="D732" s="24"/>
      <c r="E732" s="23"/>
      <c r="F732" s="25"/>
      <c r="G732" s="25"/>
      <c r="H732" s="40"/>
    </row>
    <row r="733" spans="1:8" x14ac:dyDescent="0.25">
      <c r="A733" s="35"/>
      <c r="B733" s="36"/>
      <c r="C733" s="23"/>
      <c r="D733" s="24"/>
      <c r="E733" s="23"/>
      <c r="F733" s="25"/>
      <c r="G733" s="25"/>
      <c r="H733" s="40"/>
    </row>
    <row r="734" spans="1:8" x14ac:dyDescent="0.25">
      <c r="A734" s="35"/>
      <c r="B734" s="36"/>
      <c r="C734" s="23"/>
      <c r="D734" s="24"/>
      <c r="E734" s="23"/>
      <c r="F734" s="25"/>
      <c r="G734" s="25"/>
      <c r="H734" s="40"/>
    </row>
    <row r="735" spans="1:8" x14ac:dyDescent="0.25">
      <c r="A735" s="35"/>
      <c r="B735" s="36"/>
      <c r="C735" s="23"/>
      <c r="D735" s="24"/>
      <c r="E735" s="23"/>
      <c r="F735" s="25"/>
      <c r="G735" s="25"/>
      <c r="H735" s="40"/>
    </row>
    <row r="736" spans="1:8" x14ac:dyDescent="0.25">
      <c r="A736" s="35"/>
      <c r="B736" s="36"/>
      <c r="C736" s="23"/>
      <c r="D736" s="24"/>
      <c r="E736" s="23"/>
      <c r="F736" s="25"/>
      <c r="G736" s="25"/>
      <c r="H736" s="40"/>
    </row>
    <row r="737" spans="1:8" x14ac:dyDescent="0.25">
      <c r="A737" s="30"/>
      <c r="B737" s="30"/>
      <c r="C737" s="31"/>
      <c r="D737" s="31"/>
      <c r="E737" s="31"/>
      <c r="F737" s="32"/>
      <c r="G737" s="32"/>
      <c r="H737" s="360"/>
    </row>
    <row r="738" spans="1:8" x14ac:dyDescent="0.25">
      <c r="A738" s="35"/>
      <c r="B738" s="36"/>
      <c r="C738" s="23"/>
      <c r="D738" s="24"/>
      <c r="E738" s="23"/>
      <c r="F738" s="25"/>
      <c r="G738" s="25"/>
      <c r="H738" s="40"/>
    </row>
    <row r="739" spans="1:8" x14ac:dyDescent="0.25">
      <c r="A739" s="35"/>
      <c r="B739" s="36"/>
      <c r="C739" s="23"/>
      <c r="D739" s="24"/>
      <c r="E739" s="23"/>
      <c r="F739" s="25"/>
      <c r="G739" s="25"/>
      <c r="H739" s="40"/>
    </row>
    <row r="740" spans="1:8" x14ac:dyDescent="0.25">
      <c r="A740" s="35"/>
      <c r="B740" s="36"/>
      <c r="C740" s="23"/>
      <c r="D740" s="24"/>
      <c r="E740" s="23"/>
      <c r="F740" s="25"/>
      <c r="G740" s="25"/>
      <c r="H740" s="40"/>
    </row>
    <row r="741" spans="1:8" x14ac:dyDescent="0.25">
      <c r="A741" s="35"/>
      <c r="B741" s="36"/>
      <c r="C741" s="23"/>
      <c r="D741" s="24"/>
      <c r="E741" s="23"/>
      <c r="F741" s="25"/>
      <c r="G741" s="25"/>
      <c r="H741" s="40"/>
    </row>
    <row r="742" spans="1:8" x14ac:dyDescent="0.25">
      <c r="A742" s="35"/>
      <c r="B742" s="36"/>
      <c r="C742" s="23"/>
      <c r="D742" s="24"/>
      <c r="E742" s="23"/>
      <c r="F742" s="25"/>
      <c r="G742" s="25"/>
      <c r="H742" s="40"/>
    </row>
    <row r="743" spans="1:8" x14ac:dyDescent="0.25">
      <c r="A743" s="35"/>
      <c r="B743" s="36"/>
      <c r="C743" s="23"/>
      <c r="D743" s="24"/>
      <c r="E743" s="23"/>
      <c r="F743" s="25"/>
      <c r="G743" s="25"/>
      <c r="H743" s="40"/>
    </row>
    <row r="744" spans="1:8" x14ac:dyDescent="0.25">
      <c r="A744" s="35"/>
      <c r="B744" s="36"/>
      <c r="C744" s="23"/>
      <c r="D744" s="24"/>
      <c r="E744" s="23"/>
      <c r="F744" s="25"/>
      <c r="G744" s="25"/>
      <c r="H744" s="40"/>
    </row>
    <row r="745" spans="1:8" x14ac:dyDescent="0.25">
      <c r="A745" s="30"/>
      <c r="B745" s="30"/>
      <c r="C745" s="31"/>
      <c r="D745" s="31"/>
      <c r="E745" s="31"/>
      <c r="F745" s="32"/>
      <c r="G745" s="32"/>
      <c r="H745" s="360"/>
    </row>
    <row r="746" spans="1:8" x14ac:dyDescent="0.25">
      <c r="A746" s="35"/>
      <c r="B746" s="36"/>
      <c r="C746" s="23"/>
      <c r="D746" s="24"/>
      <c r="E746" s="23"/>
      <c r="F746" s="25"/>
      <c r="G746" s="25"/>
      <c r="H746" s="40"/>
    </row>
    <row r="747" spans="1:8" x14ac:dyDescent="0.25">
      <c r="A747" s="35"/>
      <c r="B747" s="36"/>
      <c r="C747" s="23"/>
      <c r="D747" s="24"/>
      <c r="E747" s="23"/>
      <c r="F747" s="25"/>
      <c r="G747" s="25"/>
      <c r="H747" s="40"/>
    </row>
    <row r="748" spans="1:8" x14ac:dyDescent="0.25">
      <c r="A748" s="35"/>
      <c r="B748" s="36"/>
      <c r="C748" s="23"/>
      <c r="D748" s="24"/>
      <c r="E748" s="23"/>
      <c r="F748" s="25"/>
      <c r="G748" s="25"/>
      <c r="H748" s="40"/>
    </row>
    <row r="749" spans="1:8" x14ac:dyDescent="0.25">
      <c r="A749" s="35"/>
      <c r="B749" s="36"/>
      <c r="C749" s="23"/>
      <c r="D749" s="24"/>
      <c r="E749" s="23"/>
      <c r="F749" s="25"/>
      <c r="G749" s="25"/>
      <c r="H749" s="40"/>
    </row>
    <row r="750" spans="1:8" x14ac:dyDescent="0.25">
      <c r="A750" s="35"/>
      <c r="B750" s="36"/>
      <c r="C750" s="23"/>
      <c r="D750" s="24"/>
      <c r="E750" s="23"/>
      <c r="F750" s="25"/>
      <c r="G750" s="25"/>
      <c r="H750" s="40"/>
    </row>
    <row r="751" spans="1:8" x14ac:dyDescent="0.25">
      <c r="A751" s="35"/>
      <c r="B751" s="36"/>
      <c r="C751" s="23"/>
      <c r="D751" s="24"/>
      <c r="E751" s="23"/>
      <c r="F751" s="25"/>
      <c r="G751" s="25"/>
      <c r="H751" s="40"/>
    </row>
    <row r="752" spans="1:8" x14ac:dyDescent="0.25">
      <c r="A752" s="35"/>
      <c r="B752" s="36"/>
      <c r="C752" s="23"/>
      <c r="D752" s="24"/>
      <c r="E752" s="23"/>
      <c r="F752" s="25"/>
      <c r="G752" s="25"/>
      <c r="H752" s="40"/>
    </row>
    <row r="753" spans="1:8" x14ac:dyDescent="0.25">
      <c r="A753" s="30"/>
      <c r="B753" s="30"/>
      <c r="C753" s="31"/>
      <c r="D753" s="31"/>
      <c r="E753" s="31"/>
      <c r="F753" s="32"/>
      <c r="G753" s="32"/>
      <c r="H753" s="360"/>
    </row>
    <row r="754" spans="1:8" x14ac:dyDescent="0.25">
      <c r="A754" s="35"/>
      <c r="B754" s="36"/>
      <c r="C754" s="23"/>
      <c r="D754" s="24"/>
      <c r="E754" s="23"/>
      <c r="F754" s="25"/>
      <c r="G754" s="25"/>
      <c r="H754" s="40"/>
    </row>
    <row r="755" spans="1:8" x14ac:dyDescent="0.25">
      <c r="A755" s="35"/>
      <c r="B755" s="36"/>
      <c r="C755" s="23"/>
      <c r="D755" s="24"/>
      <c r="E755" s="23"/>
      <c r="F755" s="25"/>
      <c r="G755" s="25"/>
      <c r="H755" s="40"/>
    </row>
    <row r="756" spans="1:8" x14ac:dyDescent="0.25">
      <c r="A756" s="35"/>
      <c r="B756" s="36"/>
      <c r="C756" s="23"/>
      <c r="D756" s="24"/>
      <c r="E756" s="23"/>
      <c r="F756" s="25"/>
      <c r="G756" s="25"/>
      <c r="H756" s="40"/>
    </row>
    <row r="757" spans="1:8" x14ac:dyDescent="0.25">
      <c r="A757" s="35"/>
      <c r="B757" s="36"/>
      <c r="C757" s="23"/>
      <c r="D757" s="24"/>
      <c r="E757" s="23"/>
      <c r="F757" s="25"/>
      <c r="G757" s="25"/>
      <c r="H757" s="40"/>
    </row>
    <row r="758" spans="1:8" x14ac:dyDescent="0.25">
      <c r="A758" s="35"/>
      <c r="B758" s="36"/>
      <c r="C758" s="23"/>
      <c r="D758" s="24"/>
      <c r="E758" s="23"/>
      <c r="F758" s="25"/>
      <c r="G758" s="25"/>
      <c r="H758" s="40"/>
    </row>
    <row r="759" spans="1:8" x14ac:dyDescent="0.25">
      <c r="A759" s="35"/>
      <c r="B759" s="36"/>
      <c r="C759" s="23"/>
      <c r="D759" s="24"/>
      <c r="E759" s="23"/>
      <c r="F759" s="25"/>
      <c r="G759" s="25"/>
      <c r="H759" s="40"/>
    </row>
    <row r="760" spans="1:8" x14ac:dyDescent="0.25">
      <c r="A760" s="35"/>
      <c r="B760" s="36"/>
      <c r="C760" s="23"/>
      <c r="D760" s="24"/>
      <c r="E760" s="23"/>
      <c r="F760" s="25"/>
      <c r="G760" s="25"/>
      <c r="H760" s="40"/>
    </row>
    <row r="761" spans="1:8" x14ac:dyDescent="0.25">
      <c r="A761" s="30"/>
      <c r="B761" s="30"/>
      <c r="C761" s="31"/>
      <c r="D761" s="31"/>
      <c r="E761" s="31"/>
      <c r="F761" s="32"/>
      <c r="G761" s="32"/>
      <c r="H761" s="360"/>
    </row>
    <row r="762" spans="1:8" x14ac:dyDescent="0.25">
      <c r="A762" s="43"/>
      <c r="B762" s="44"/>
      <c r="C762" s="45"/>
      <c r="D762" s="45"/>
      <c r="E762" s="45"/>
      <c r="F762" s="46"/>
      <c r="G762" s="47"/>
      <c r="H762" s="357"/>
    </row>
    <row r="763" spans="1:8" x14ac:dyDescent="0.25">
      <c r="A763" s="69"/>
      <c r="B763" s="50"/>
      <c r="C763" s="19"/>
      <c r="D763" s="70"/>
      <c r="E763" s="70"/>
      <c r="F763" s="71"/>
      <c r="G763" s="28"/>
      <c r="H763" s="356"/>
    </row>
    <row r="764" spans="1:8" x14ac:dyDescent="0.25">
      <c r="A764" s="17"/>
      <c r="B764" s="35"/>
      <c r="C764" s="23"/>
      <c r="D764" s="24"/>
      <c r="E764" s="23"/>
      <c r="F764" s="28"/>
      <c r="G764" s="28"/>
      <c r="H764" s="356"/>
    </row>
    <row r="765" spans="1:8" x14ac:dyDescent="0.25">
      <c r="A765" s="17"/>
      <c r="B765" s="35"/>
      <c r="C765" s="23"/>
      <c r="D765" s="24"/>
      <c r="E765" s="23"/>
      <c r="F765" s="28"/>
      <c r="G765" s="28"/>
      <c r="H765" s="356"/>
    </row>
    <row r="766" spans="1:8" x14ac:dyDescent="0.25">
      <c r="A766" s="17"/>
      <c r="B766" s="35"/>
      <c r="C766" s="23"/>
      <c r="D766" s="24"/>
      <c r="E766" s="23"/>
      <c r="F766" s="28"/>
      <c r="G766" s="28"/>
      <c r="H766" s="356"/>
    </row>
    <row r="767" spans="1:8" x14ac:dyDescent="0.25">
      <c r="A767" s="17"/>
      <c r="B767" s="35"/>
      <c r="C767" s="23"/>
      <c r="D767" s="24"/>
      <c r="E767" s="23"/>
      <c r="F767" s="28"/>
      <c r="G767" s="28"/>
      <c r="H767" s="356"/>
    </row>
    <row r="768" spans="1:8" x14ac:dyDescent="0.25">
      <c r="A768" s="17"/>
      <c r="B768" s="35"/>
      <c r="C768" s="23"/>
      <c r="D768" s="24"/>
      <c r="E768" s="23"/>
      <c r="F768" s="28"/>
      <c r="G768" s="28"/>
      <c r="H768" s="356"/>
    </row>
    <row r="769" spans="1:8" x14ac:dyDescent="0.25">
      <c r="A769" s="17"/>
      <c r="B769" s="35"/>
      <c r="C769" s="23"/>
      <c r="D769" s="24"/>
      <c r="E769" s="23"/>
      <c r="F769" s="28"/>
      <c r="G769" s="28"/>
      <c r="H769" s="356"/>
    </row>
    <row r="770" spans="1:8" x14ac:dyDescent="0.25">
      <c r="A770" s="17"/>
      <c r="B770" s="35"/>
      <c r="C770" s="23"/>
      <c r="D770" s="24"/>
      <c r="E770" s="23"/>
      <c r="F770" s="28"/>
      <c r="G770" s="28"/>
      <c r="H770" s="356"/>
    </row>
    <row r="771" spans="1:8" x14ac:dyDescent="0.25">
      <c r="A771" s="17"/>
      <c r="B771" s="35"/>
      <c r="C771" s="23"/>
      <c r="D771" s="24"/>
      <c r="E771" s="23"/>
      <c r="F771" s="28"/>
      <c r="G771" s="28"/>
      <c r="H771" s="356"/>
    </row>
    <row r="772" spans="1:8" x14ac:dyDescent="0.25">
      <c r="A772" s="17"/>
      <c r="B772" s="35"/>
      <c r="C772" s="23"/>
      <c r="D772" s="24"/>
      <c r="E772" s="23"/>
      <c r="F772" s="28"/>
      <c r="G772" s="28"/>
      <c r="H772" s="356"/>
    </row>
    <row r="773" spans="1:8" x14ac:dyDescent="0.25">
      <c r="A773" s="17"/>
      <c r="B773" s="35"/>
      <c r="C773" s="23"/>
      <c r="D773" s="24"/>
      <c r="E773" s="23"/>
      <c r="F773" s="28"/>
      <c r="G773" s="28"/>
      <c r="H773" s="356"/>
    </row>
    <row r="774" spans="1:8" x14ac:dyDescent="0.25">
      <c r="A774" s="17"/>
      <c r="B774" s="35"/>
      <c r="C774" s="23"/>
      <c r="D774" s="24"/>
      <c r="E774" s="23"/>
      <c r="F774" s="28"/>
      <c r="G774" s="28"/>
      <c r="H774" s="356"/>
    </row>
    <row r="775" spans="1:8" x14ac:dyDescent="0.25">
      <c r="A775" s="17"/>
      <c r="B775" s="36"/>
      <c r="C775" s="23"/>
      <c r="D775" s="72"/>
      <c r="E775" s="72"/>
      <c r="F775" s="28"/>
      <c r="G775" s="28"/>
      <c r="H775" s="356"/>
    </row>
    <row r="776" spans="1:8" x14ac:dyDescent="0.25">
      <c r="A776" s="17"/>
      <c r="B776" s="36"/>
      <c r="C776" s="23"/>
      <c r="D776" s="72"/>
      <c r="E776" s="72"/>
      <c r="F776" s="28"/>
      <c r="G776" s="28"/>
      <c r="H776" s="356"/>
    </row>
    <row r="777" spans="1:8" x14ac:dyDescent="0.25">
      <c r="A777" s="17"/>
      <c r="B777" s="36"/>
      <c r="C777" s="23"/>
      <c r="D777" s="23"/>
      <c r="E777" s="23"/>
      <c r="F777" s="28"/>
      <c r="G777" s="28"/>
      <c r="H777" s="356"/>
    </row>
    <row r="778" spans="1:8" x14ac:dyDescent="0.25">
      <c r="A778" s="17"/>
      <c r="B778" s="36"/>
      <c r="C778" s="23"/>
      <c r="D778" s="72"/>
      <c r="E778" s="72"/>
      <c r="F778" s="28"/>
      <c r="G778" s="28"/>
      <c r="H778" s="356"/>
    </row>
    <row r="779" spans="1:8" x14ac:dyDescent="0.25">
      <c r="A779" s="17"/>
      <c r="B779" s="36"/>
      <c r="C779" s="23"/>
      <c r="D779" s="23"/>
      <c r="E779" s="23"/>
      <c r="F779" s="28"/>
      <c r="G779" s="28"/>
      <c r="H779" s="356"/>
    </row>
    <row r="780" spans="1:8" x14ac:dyDescent="0.25">
      <c r="A780" s="17"/>
      <c r="B780" s="36"/>
      <c r="C780" s="23"/>
      <c r="D780" s="23"/>
      <c r="E780" s="23"/>
      <c r="F780" s="28"/>
      <c r="G780" s="28"/>
      <c r="H780" s="356"/>
    </row>
    <row r="781" spans="1:8" x14ac:dyDescent="0.25">
      <c r="A781" s="43"/>
      <c r="B781" s="44"/>
      <c r="C781" s="45"/>
      <c r="D781" s="45"/>
      <c r="E781" s="45"/>
      <c r="F781" s="46"/>
      <c r="G781" s="47"/>
      <c r="H781" s="357"/>
    </row>
    <row r="782" spans="1:8" x14ac:dyDescent="0.25">
      <c r="A782" s="14"/>
      <c r="B782" s="15"/>
      <c r="C782" s="14"/>
      <c r="D782" s="14"/>
      <c r="E782" s="14"/>
      <c r="F782" s="16"/>
      <c r="G782" s="16"/>
      <c r="H782" s="359"/>
    </row>
    <row r="783" spans="1:8" x14ac:dyDescent="0.25">
      <c r="A783" s="17"/>
      <c r="B783" s="37"/>
      <c r="C783" s="19"/>
      <c r="D783" s="20"/>
      <c r="E783" s="19"/>
      <c r="F783" s="21"/>
      <c r="G783" s="21"/>
      <c r="H783" s="358"/>
    </row>
    <row r="784" spans="1:8" x14ac:dyDescent="0.25">
      <c r="A784" s="17"/>
      <c r="B784" s="50"/>
      <c r="C784" s="19"/>
      <c r="D784" s="20"/>
      <c r="E784" s="19"/>
      <c r="F784" s="21"/>
      <c r="G784" s="21"/>
      <c r="H784" s="358"/>
    </row>
    <row r="785" spans="1:8" x14ac:dyDescent="0.25">
      <c r="A785" s="35"/>
      <c r="B785" s="36"/>
      <c r="C785" s="23"/>
      <c r="D785" s="24"/>
      <c r="E785" s="23"/>
      <c r="F785" s="25"/>
      <c r="G785" s="25"/>
      <c r="H785" s="40"/>
    </row>
    <row r="786" spans="1:8" x14ac:dyDescent="0.25">
      <c r="A786" s="35"/>
      <c r="B786" s="36"/>
      <c r="C786" s="23"/>
      <c r="D786" s="24"/>
      <c r="E786" s="23"/>
      <c r="F786" s="25"/>
      <c r="G786" s="25"/>
      <c r="H786" s="40"/>
    </row>
    <row r="787" spans="1:8" x14ac:dyDescent="0.25">
      <c r="A787" s="35"/>
      <c r="B787" s="36"/>
      <c r="C787" s="23"/>
      <c r="D787" s="24"/>
      <c r="E787" s="23"/>
      <c r="F787" s="25"/>
      <c r="G787" s="25"/>
      <c r="H787" s="40"/>
    </row>
    <row r="788" spans="1:8" x14ac:dyDescent="0.25">
      <c r="A788" s="35"/>
      <c r="B788" s="36"/>
      <c r="C788" s="23"/>
      <c r="D788" s="24"/>
      <c r="E788" s="23"/>
      <c r="F788" s="25"/>
      <c r="G788" s="25"/>
      <c r="H788" s="40"/>
    </row>
    <row r="789" spans="1:8" x14ac:dyDescent="0.25">
      <c r="A789" s="35"/>
      <c r="B789" s="36"/>
      <c r="C789" s="23"/>
      <c r="D789" s="24"/>
      <c r="E789" s="23"/>
      <c r="F789" s="25"/>
      <c r="G789" s="25"/>
      <c r="H789" s="40"/>
    </row>
    <row r="790" spans="1:8" x14ac:dyDescent="0.25">
      <c r="A790" s="35"/>
      <c r="B790" s="36"/>
      <c r="C790" s="23"/>
      <c r="D790" s="24"/>
      <c r="E790" s="23"/>
      <c r="F790" s="25"/>
      <c r="G790" s="25"/>
      <c r="H790" s="40"/>
    </row>
    <row r="791" spans="1:8" x14ac:dyDescent="0.25">
      <c r="A791" s="35"/>
      <c r="B791" s="36"/>
      <c r="C791" s="23"/>
      <c r="D791" s="24"/>
      <c r="E791" s="23"/>
      <c r="F791" s="25"/>
      <c r="G791" s="25"/>
      <c r="H791" s="40"/>
    </row>
    <row r="792" spans="1:8" x14ac:dyDescent="0.25">
      <c r="A792" s="35"/>
      <c r="B792" s="36"/>
      <c r="C792" s="23"/>
      <c r="D792" s="24"/>
      <c r="E792" s="23"/>
      <c r="F792" s="25"/>
      <c r="G792" s="25"/>
      <c r="H792" s="40"/>
    </row>
    <row r="793" spans="1:8" x14ac:dyDescent="0.25">
      <c r="A793" s="35"/>
      <c r="B793" s="36"/>
      <c r="C793" s="23"/>
      <c r="D793" s="24"/>
      <c r="E793" s="23"/>
      <c r="F793" s="25"/>
      <c r="G793" s="25"/>
      <c r="H793" s="40"/>
    </row>
    <row r="794" spans="1:8" x14ac:dyDescent="0.25">
      <c r="A794" s="35"/>
      <c r="B794" s="36"/>
      <c r="C794" s="23"/>
      <c r="D794" s="24"/>
      <c r="E794" s="23"/>
      <c r="F794" s="25"/>
      <c r="G794" s="25"/>
      <c r="H794" s="40"/>
    </row>
    <row r="795" spans="1:8" x14ac:dyDescent="0.25">
      <c r="A795" s="35"/>
      <c r="B795" s="36"/>
      <c r="C795" s="23"/>
      <c r="D795" s="24"/>
      <c r="E795" s="23"/>
      <c r="F795" s="25"/>
      <c r="G795" s="25"/>
      <c r="H795" s="40"/>
    </row>
    <row r="796" spans="1:8" x14ac:dyDescent="0.25">
      <c r="A796" s="35"/>
      <c r="B796" s="36"/>
      <c r="C796" s="23"/>
      <c r="D796" s="24"/>
      <c r="E796" s="23"/>
      <c r="F796" s="25"/>
      <c r="G796" s="25"/>
      <c r="H796" s="40"/>
    </row>
    <row r="797" spans="1:8" x14ac:dyDescent="0.25">
      <c r="A797" s="35"/>
      <c r="B797" s="36"/>
      <c r="C797" s="23"/>
      <c r="D797" s="24"/>
      <c r="E797" s="23"/>
      <c r="F797" s="25"/>
      <c r="G797" s="25"/>
      <c r="H797" s="40"/>
    </row>
    <row r="798" spans="1:8" x14ac:dyDescent="0.25">
      <c r="A798" s="35"/>
      <c r="B798" s="36"/>
      <c r="C798" s="23"/>
      <c r="D798" s="24"/>
      <c r="E798" s="23"/>
      <c r="F798" s="25"/>
      <c r="G798" s="25"/>
      <c r="H798" s="40"/>
    </row>
    <row r="799" spans="1:8" x14ac:dyDescent="0.25">
      <c r="A799" s="35"/>
      <c r="B799" s="36"/>
      <c r="C799" s="23"/>
      <c r="D799" s="24"/>
      <c r="E799" s="23"/>
      <c r="F799" s="25"/>
      <c r="G799" s="25"/>
      <c r="H799" s="40"/>
    </row>
    <row r="800" spans="1:8" x14ac:dyDescent="0.25">
      <c r="A800" s="35"/>
      <c r="B800" s="36"/>
      <c r="C800" s="23"/>
      <c r="D800" s="24"/>
      <c r="E800" s="23"/>
      <c r="F800" s="25"/>
      <c r="G800" s="25"/>
      <c r="H800" s="40"/>
    </row>
    <row r="801" spans="1:8" x14ac:dyDescent="0.25">
      <c r="A801" s="35"/>
      <c r="B801" s="36"/>
      <c r="C801" s="23"/>
      <c r="D801" s="24"/>
      <c r="E801" s="23"/>
      <c r="F801" s="25"/>
      <c r="G801" s="25"/>
      <c r="H801" s="40"/>
    </row>
    <row r="802" spans="1:8" x14ac:dyDescent="0.25">
      <c r="A802" s="35"/>
      <c r="B802" s="36"/>
      <c r="C802" s="23"/>
      <c r="D802" s="24"/>
      <c r="E802" s="23"/>
      <c r="F802" s="25"/>
      <c r="G802" s="25"/>
      <c r="H802" s="40"/>
    </row>
    <row r="803" spans="1:8" x14ac:dyDescent="0.25">
      <c r="A803" s="30"/>
      <c r="B803" s="30"/>
      <c r="C803" s="31"/>
      <c r="D803" s="31"/>
      <c r="E803" s="31"/>
      <c r="F803" s="32"/>
      <c r="G803" s="32"/>
      <c r="H803" s="360"/>
    </row>
    <row r="804" spans="1:8" x14ac:dyDescent="0.25">
      <c r="A804" s="17"/>
      <c r="B804" s="50"/>
      <c r="C804" s="73"/>
      <c r="D804" s="74"/>
      <c r="E804" s="75"/>
      <c r="F804" s="76"/>
      <c r="G804" s="77"/>
      <c r="H804" s="356"/>
    </row>
    <row r="805" spans="1:8" x14ac:dyDescent="0.25">
      <c r="A805" s="35"/>
      <c r="B805" s="36"/>
      <c r="C805" s="23"/>
      <c r="D805" s="24"/>
      <c r="E805" s="23"/>
      <c r="F805" s="25"/>
      <c r="G805" s="25"/>
      <c r="H805" s="40"/>
    </row>
    <row r="806" spans="1:8" x14ac:dyDescent="0.25">
      <c r="A806" s="35"/>
      <c r="B806" s="36"/>
      <c r="C806" s="23"/>
      <c r="D806" s="24"/>
      <c r="E806" s="23"/>
      <c r="F806" s="25"/>
      <c r="G806" s="25"/>
      <c r="H806" s="40"/>
    </row>
    <row r="807" spans="1:8" x14ac:dyDescent="0.25">
      <c r="A807" s="35"/>
      <c r="B807" s="36"/>
      <c r="C807" s="23"/>
      <c r="D807" s="24"/>
      <c r="E807" s="23"/>
      <c r="F807" s="25"/>
      <c r="G807" s="25"/>
      <c r="H807" s="40"/>
    </row>
    <row r="808" spans="1:8" x14ac:dyDescent="0.25">
      <c r="A808" s="35"/>
      <c r="B808" s="36"/>
      <c r="C808" s="23"/>
      <c r="D808" s="24"/>
      <c r="E808" s="23"/>
      <c r="F808" s="25"/>
      <c r="G808" s="25"/>
      <c r="H808" s="40"/>
    </row>
    <row r="809" spans="1:8" x14ac:dyDescent="0.25">
      <c r="A809" s="35"/>
      <c r="B809" s="36"/>
      <c r="C809" s="23"/>
      <c r="D809" s="24"/>
      <c r="E809" s="23"/>
      <c r="F809" s="25"/>
      <c r="G809" s="25"/>
      <c r="H809" s="40"/>
    </row>
    <row r="810" spans="1:8" x14ac:dyDescent="0.25">
      <c r="A810" s="35"/>
      <c r="B810" s="36"/>
      <c r="C810" s="23"/>
      <c r="D810" s="24"/>
      <c r="E810" s="23"/>
      <c r="F810" s="25"/>
      <c r="G810" s="25"/>
      <c r="H810" s="40"/>
    </row>
    <row r="811" spans="1:8" x14ac:dyDescent="0.25">
      <c r="A811" s="35"/>
      <c r="B811" s="36"/>
      <c r="C811" s="23"/>
      <c r="D811" s="24"/>
      <c r="E811" s="23"/>
      <c r="F811" s="25"/>
      <c r="G811" s="25"/>
      <c r="H811" s="40"/>
    </row>
    <row r="812" spans="1:8" x14ac:dyDescent="0.25">
      <c r="A812" s="35"/>
      <c r="B812" s="36"/>
      <c r="C812" s="23"/>
      <c r="D812" s="24"/>
      <c r="E812" s="23"/>
      <c r="F812" s="25"/>
      <c r="G812" s="25"/>
      <c r="H812" s="40"/>
    </row>
    <row r="813" spans="1:8" x14ac:dyDescent="0.25">
      <c r="A813" s="35"/>
      <c r="B813" s="36"/>
      <c r="C813" s="23"/>
      <c r="D813" s="24"/>
      <c r="E813" s="23"/>
      <c r="F813" s="25"/>
      <c r="G813" s="25"/>
      <c r="H813" s="40"/>
    </row>
    <row r="814" spans="1:8" x14ac:dyDescent="0.25">
      <c r="A814" s="35"/>
      <c r="B814" s="36"/>
      <c r="C814" s="23"/>
      <c r="D814" s="24"/>
      <c r="E814" s="23"/>
      <c r="F814" s="25"/>
      <c r="G814" s="25"/>
      <c r="H814" s="40"/>
    </row>
    <row r="815" spans="1:8" x14ac:dyDescent="0.25">
      <c r="A815" s="35"/>
      <c r="B815" s="36"/>
      <c r="C815" s="23"/>
      <c r="D815" s="24"/>
      <c r="E815" s="23"/>
      <c r="F815" s="25"/>
      <c r="G815" s="25"/>
      <c r="H815" s="40"/>
    </row>
    <row r="816" spans="1:8" x14ac:dyDescent="0.25">
      <c r="A816" s="35"/>
      <c r="B816" s="36"/>
      <c r="C816" s="23"/>
      <c r="D816" s="24"/>
      <c r="E816" s="23"/>
      <c r="F816" s="25"/>
      <c r="G816" s="25"/>
      <c r="H816" s="40"/>
    </row>
    <row r="817" spans="1:10" x14ac:dyDescent="0.25">
      <c r="A817" s="35"/>
      <c r="B817" s="36"/>
      <c r="C817" s="23"/>
      <c r="D817" s="24"/>
      <c r="E817" s="23"/>
      <c r="F817" s="25"/>
      <c r="G817" s="25"/>
      <c r="H817" s="40"/>
    </row>
    <row r="818" spans="1:10" x14ac:dyDescent="0.25">
      <c r="A818" s="35"/>
      <c r="B818" s="36"/>
      <c r="C818" s="23"/>
      <c r="D818" s="24"/>
      <c r="E818" s="23"/>
      <c r="F818" s="25"/>
      <c r="G818" s="25"/>
      <c r="H818" s="40"/>
    </row>
    <row r="819" spans="1:10" x14ac:dyDescent="0.25">
      <c r="A819" s="35"/>
      <c r="B819" s="36"/>
      <c r="C819" s="23"/>
      <c r="D819" s="24"/>
      <c r="E819" s="23"/>
      <c r="F819" s="25"/>
      <c r="G819" s="25"/>
      <c r="H819" s="40"/>
    </row>
    <row r="820" spans="1:10" x14ac:dyDescent="0.25">
      <c r="A820" s="35"/>
      <c r="B820" s="36"/>
      <c r="C820" s="23"/>
      <c r="D820" s="24"/>
      <c r="E820" s="23"/>
      <c r="F820" s="25"/>
      <c r="G820" s="25"/>
      <c r="H820" s="40"/>
    </row>
    <row r="821" spans="1:10" x14ac:dyDescent="0.25">
      <c r="A821" s="35"/>
      <c r="B821" s="36"/>
      <c r="C821" s="23"/>
      <c r="D821" s="24"/>
      <c r="E821" s="23"/>
      <c r="F821" s="25"/>
      <c r="G821" s="25"/>
      <c r="H821" s="40"/>
    </row>
    <row r="822" spans="1:10" x14ac:dyDescent="0.25">
      <c r="A822" s="35"/>
      <c r="B822" s="36"/>
      <c r="C822" s="23"/>
      <c r="D822" s="24"/>
      <c r="E822" s="23"/>
      <c r="F822" s="25"/>
      <c r="G822" s="25"/>
      <c r="H822" s="40"/>
    </row>
    <row r="823" spans="1:10" x14ac:dyDescent="0.25">
      <c r="A823" s="30"/>
      <c r="B823" s="30"/>
      <c r="C823" s="31"/>
      <c r="D823" s="31"/>
      <c r="E823" s="31"/>
      <c r="F823" s="32"/>
      <c r="G823" s="32"/>
      <c r="H823" s="360"/>
    </row>
    <row r="824" spans="1:10" x14ac:dyDescent="0.25">
      <c r="A824" s="43"/>
      <c r="B824" s="44"/>
      <c r="C824" s="45"/>
      <c r="D824" s="45"/>
      <c r="E824" s="45"/>
      <c r="F824" s="46"/>
      <c r="G824" s="47"/>
      <c r="H824" s="357"/>
    </row>
    <row r="825" spans="1:10" x14ac:dyDescent="0.25">
      <c r="A825" s="17"/>
      <c r="B825" s="50"/>
      <c r="C825" s="19"/>
      <c r="D825" s="20"/>
      <c r="E825" s="19"/>
      <c r="F825" s="21"/>
      <c r="G825" s="21"/>
      <c r="H825" s="358"/>
    </row>
    <row r="826" spans="1:10" x14ac:dyDescent="0.25">
      <c r="A826" s="35"/>
      <c r="B826" s="36"/>
      <c r="C826" s="23"/>
      <c r="D826" s="24"/>
      <c r="E826" s="23"/>
      <c r="F826" s="25"/>
      <c r="G826" s="25"/>
      <c r="H826" s="40"/>
    </row>
    <row r="827" spans="1:10" x14ac:dyDescent="0.25">
      <c r="A827" s="35"/>
      <c r="B827" s="36"/>
      <c r="C827" s="23"/>
      <c r="D827" s="24"/>
      <c r="E827" s="23"/>
      <c r="F827" s="25"/>
      <c r="G827" s="25"/>
      <c r="H827" s="25"/>
      <c r="I827" s="13"/>
      <c r="J827" s="20"/>
    </row>
    <row r="828" spans="1:10" x14ac:dyDescent="0.25">
      <c r="A828" s="35"/>
      <c r="B828" s="36"/>
      <c r="C828" s="23"/>
      <c r="D828" s="24"/>
      <c r="E828" s="23"/>
      <c r="F828" s="25"/>
      <c r="G828" s="25"/>
      <c r="H828" s="25"/>
      <c r="I828" s="13"/>
      <c r="J828" s="20"/>
    </row>
    <row r="829" spans="1:10" x14ac:dyDescent="0.25">
      <c r="A829" s="35"/>
      <c r="B829" s="36"/>
      <c r="C829" s="23"/>
      <c r="D829" s="24"/>
      <c r="E829" s="23"/>
      <c r="F829" s="25"/>
      <c r="G829" s="25"/>
      <c r="H829" s="40"/>
    </row>
    <row r="830" spans="1:10" x14ac:dyDescent="0.25">
      <c r="A830" s="35"/>
      <c r="B830" s="36"/>
      <c r="C830" s="23"/>
      <c r="D830" s="24"/>
      <c r="E830" s="23"/>
      <c r="F830" s="25"/>
      <c r="G830" s="25"/>
      <c r="H830" s="40"/>
    </row>
    <row r="831" spans="1:10" x14ac:dyDescent="0.25">
      <c r="A831" s="35"/>
      <c r="B831" s="36"/>
      <c r="C831" s="23"/>
      <c r="D831" s="24"/>
      <c r="E831" s="23"/>
      <c r="F831" s="25"/>
      <c r="G831" s="25"/>
      <c r="H831" s="40"/>
    </row>
    <row r="832" spans="1:10" x14ac:dyDescent="0.25">
      <c r="A832" s="35"/>
      <c r="B832" s="36"/>
      <c r="C832" s="23"/>
      <c r="D832" s="24"/>
      <c r="E832" s="23"/>
      <c r="F832" s="25"/>
      <c r="G832" s="25"/>
      <c r="H832" s="40"/>
    </row>
    <row r="833" spans="1:8" x14ac:dyDescent="0.25">
      <c r="A833" s="35"/>
      <c r="B833" s="36"/>
      <c r="C833" s="23"/>
      <c r="D833" s="24"/>
      <c r="E833" s="23"/>
      <c r="F833" s="25"/>
      <c r="G833" s="25"/>
      <c r="H833" s="40"/>
    </row>
    <row r="834" spans="1:8" x14ac:dyDescent="0.25">
      <c r="A834" s="35"/>
      <c r="B834" s="36"/>
      <c r="C834" s="23"/>
      <c r="D834" s="24"/>
      <c r="E834" s="23"/>
      <c r="F834" s="25"/>
      <c r="G834" s="25"/>
      <c r="H834" s="40"/>
    </row>
    <row r="835" spans="1:8" x14ac:dyDescent="0.25">
      <c r="A835" s="35"/>
      <c r="B835" s="36"/>
      <c r="C835" s="23"/>
      <c r="D835" s="24"/>
      <c r="E835" s="23"/>
      <c r="F835" s="25"/>
      <c r="G835" s="25"/>
      <c r="H835" s="40"/>
    </row>
    <row r="836" spans="1:8" x14ac:dyDescent="0.25">
      <c r="A836" s="35"/>
      <c r="B836" s="36"/>
      <c r="C836" s="23"/>
      <c r="D836" s="24"/>
      <c r="E836" s="23"/>
      <c r="F836" s="25"/>
      <c r="G836" s="25"/>
      <c r="H836" s="40"/>
    </row>
    <row r="837" spans="1:8" x14ac:dyDescent="0.25">
      <c r="A837" s="35"/>
      <c r="B837" s="36"/>
      <c r="C837" s="23"/>
      <c r="D837" s="24"/>
      <c r="E837" s="23"/>
      <c r="F837" s="25"/>
      <c r="G837" s="25"/>
      <c r="H837" s="40"/>
    </row>
    <row r="838" spans="1:8" x14ac:dyDescent="0.25">
      <c r="A838" s="35"/>
      <c r="B838" s="36"/>
      <c r="C838" s="23"/>
      <c r="D838" s="24"/>
      <c r="E838" s="23"/>
      <c r="F838" s="25"/>
      <c r="G838" s="25"/>
      <c r="H838" s="40"/>
    </row>
    <row r="839" spans="1:8" x14ac:dyDescent="0.25">
      <c r="A839" s="35"/>
      <c r="B839" s="36"/>
      <c r="C839" s="23"/>
      <c r="D839" s="24"/>
      <c r="E839" s="23"/>
      <c r="F839" s="25"/>
      <c r="G839" s="25"/>
      <c r="H839" s="40"/>
    </row>
    <row r="840" spans="1:8" x14ac:dyDescent="0.25">
      <c r="A840" s="35"/>
      <c r="B840" s="36"/>
      <c r="C840" s="23"/>
      <c r="D840" s="24"/>
      <c r="E840" s="23"/>
      <c r="F840" s="25"/>
      <c r="G840" s="25"/>
      <c r="H840" s="40"/>
    </row>
    <row r="841" spans="1:8" x14ac:dyDescent="0.25">
      <c r="A841" s="35"/>
      <c r="B841" s="36"/>
      <c r="C841" s="23"/>
      <c r="D841" s="24"/>
      <c r="E841" s="23"/>
      <c r="F841" s="25"/>
      <c r="G841" s="25"/>
      <c r="H841" s="40"/>
    </row>
    <row r="842" spans="1:8" x14ac:dyDescent="0.25">
      <c r="A842" s="35"/>
      <c r="B842" s="36"/>
      <c r="C842" s="23"/>
      <c r="D842" s="24"/>
      <c r="E842" s="23"/>
      <c r="F842" s="25"/>
      <c r="G842" s="25"/>
      <c r="H842" s="40"/>
    </row>
    <row r="843" spans="1:8" x14ac:dyDescent="0.25">
      <c r="A843" s="35"/>
      <c r="B843" s="36"/>
      <c r="C843" s="23"/>
      <c r="D843" s="24"/>
      <c r="E843" s="23"/>
      <c r="F843" s="25"/>
      <c r="G843" s="25"/>
      <c r="H843" s="40"/>
    </row>
    <row r="844" spans="1:8" x14ac:dyDescent="0.25">
      <c r="A844" s="30"/>
      <c r="B844" s="30"/>
      <c r="C844" s="31"/>
      <c r="D844" s="31"/>
      <c r="E844" s="31"/>
      <c r="F844" s="32"/>
      <c r="G844" s="32"/>
      <c r="H844" s="360"/>
    </row>
    <row r="845" spans="1:8" x14ac:dyDescent="0.25">
      <c r="A845" s="14"/>
      <c r="B845" s="15"/>
      <c r="C845" s="14"/>
      <c r="D845" s="14"/>
      <c r="E845" s="14"/>
      <c r="F845" s="16"/>
      <c r="G845" s="16"/>
      <c r="H845" s="359"/>
    </row>
    <row r="846" spans="1:8" x14ac:dyDescent="0.25">
      <c r="A846" s="69"/>
      <c r="B846" s="37"/>
      <c r="C846" s="19"/>
      <c r="D846" s="70"/>
      <c r="E846" s="70"/>
      <c r="F846" s="71"/>
      <c r="G846" s="78"/>
      <c r="H846" s="361"/>
    </row>
    <row r="847" spans="1:8" x14ac:dyDescent="0.25">
      <c r="A847" s="35"/>
      <c r="B847" s="36"/>
      <c r="C847" s="23"/>
      <c r="D847" s="24"/>
      <c r="E847" s="23"/>
      <c r="F847" s="25"/>
      <c r="G847" s="25"/>
      <c r="H847" s="40"/>
    </row>
    <row r="848" spans="1:8" x14ac:dyDescent="0.25">
      <c r="A848" s="35"/>
      <c r="B848" s="36"/>
      <c r="C848" s="23"/>
      <c r="D848" s="24"/>
      <c r="E848" s="23"/>
      <c r="F848" s="25"/>
      <c r="G848" s="25"/>
      <c r="H848" s="40"/>
    </row>
    <row r="849" spans="1:8" x14ac:dyDescent="0.25">
      <c r="A849" s="35"/>
      <c r="B849" s="36"/>
      <c r="C849" s="23"/>
      <c r="D849" s="24"/>
      <c r="E849" s="23"/>
      <c r="F849" s="25"/>
      <c r="G849" s="25"/>
      <c r="H849" s="40"/>
    </row>
    <row r="850" spans="1:8" x14ac:dyDescent="0.25">
      <c r="A850" s="30"/>
      <c r="B850" s="30"/>
      <c r="C850" s="31"/>
      <c r="D850" s="31"/>
      <c r="E850" s="31"/>
      <c r="F850" s="32"/>
      <c r="G850" s="32"/>
      <c r="H850" s="360"/>
    </row>
    <row r="851" spans="1:8" x14ac:dyDescent="0.25">
      <c r="A851" s="35"/>
      <c r="B851" s="36"/>
      <c r="C851" s="23"/>
      <c r="D851" s="24"/>
      <c r="E851" s="23"/>
      <c r="F851" s="25"/>
      <c r="G851" s="25"/>
      <c r="H851" s="40"/>
    </row>
    <row r="852" spans="1:8" x14ac:dyDescent="0.25">
      <c r="A852" s="35"/>
      <c r="B852" s="36"/>
      <c r="C852" s="23"/>
      <c r="D852" s="24"/>
      <c r="E852" s="23"/>
      <c r="F852" s="25"/>
      <c r="G852" s="25"/>
      <c r="H852" s="40"/>
    </row>
    <row r="853" spans="1:8" x14ac:dyDescent="0.25">
      <c r="A853" s="35"/>
      <c r="B853" s="36"/>
      <c r="C853" s="23"/>
      <c r="D853" s="24"/>
      <c r="E853" s="23"/>
      <c r="F853" s="25"/>
      <c r="G853" s="25"/>
      <c r="H853" s="40"/>
    </row>
    <row r="854" spans="1:8" x14ac:dyDescent="0.25">
      <c r="A854" s="30"/>
      <c r="B854" s="30"/>
      <c r="C854" s="31"/>
      <c r="D854" s="31"/>
      <c r="E854" s="31"/>
      <c r="F854" s="32"/>
      <c r="G854" s="32"/>
      <c r="H854" s="360"/>
    </row>
    <row r="855" spans="1:8" x14ac:dyDescent="0.25">
      <c r="A855" s="35"/>
      <c r="B855" s="36"/>
      <c r="C855" s="23"/>
      <c r="D855" s="24"/>
      <c r="E855" s="23"/>
      <c r="F855" s="25"/>
      <c r="G855" s="25"/>
      <c r="H855" s="40"/>
    </row>
    <row r="856" spans="1:8" x14ac:dyDescent="0.25">
      <c r="A856" s="35"/>
      <c r="B856" s="36"/>
      <c r="C856" s="23"/>
      <c r="D856" s="24"/>
      <c r="E856" s="23"/>
      <c r="F856" s="25"/>
      <c r="G856" s="25"/>
      <c r="H856" s="40"/>
    </row>
    <row r="857" spans="1:8" x14ac:dyDescent="0.25">
      <c r="A857" s="35"/>
      <c r="B857" s="36"/>
      <c r="C857" s="23"/>
      <c r="D857" s="24"/>
      <c r="E857" s="23"/>
      <c r="F857" s="25"/>
      <c r="G857" s="25"/>
      <c r="H857" s="40"/>
    </row>
    <row r="858" spans="1:8" x14ac:dyDescent="0.25">
      <c r="A858" s="30"/>
      <c r="B858" s="30"/>
      <c r="C858" s="31"/>
      <c r="D858" s="31"/>
      <c r="E858" s="31"/>
      <c r="F858" s="32"/>
      <c r="G858" s="32"/>
      <c r="H858" s="360"/>
    </row>
    <row r="859" spans="1:8" x14ac:dyDescent="0.25">
      <c r="A859" s="35"/>
      <c r="B859" s="36"/>
      <c r="C859" s="23"/>
      <c r="D859" s="24"/>
      <c r="E859" s="23"/>
      <c r="F859" s="25"/>
      <c r="G859" s="25"/>
      <c r="H859" s="40"/>
    </row>
    <row r="860" spans="1:8" x14ac:dyDescent="0.25">
      <c r="A860" s="35"/>
      <c r="B860" s="36"/>
      <c r="C860" s="23"/>
      <c r="D860" s="24"/>
      <c r="E860" s="23"/>
      <c r="F860" s="25"/>
      <c r="G860" s="25"/>
      <c r="H860" s="40"/>
    </row>
    <row r="861" spans="1:8" x14ac:dyDescent="0.25">
      <c r="A861" s="35"/>
      <c r="B861" s="36"/>
      <c r="C861" s="23"/>
      <c r="D861" s="24"/>
      <c r="E861" s="23"/>
      <c r="F861" s="25"/>
      <c r="G861" s="25"/>
      <c r="H861" s="40"/>
    </row>
    <row r="862" spans="1:8" x14ac:dyDescent="0.25">
      <c r="A862" s="30"/>
      <c r="B862" s="30"/>
      <c r="C862" s="31"/>
      <c r="D862" s="31"/>
      <c r="E862" s="31"/>
      <c r="F862" s="32"/>
      <c r="G862" s="32"/>
      <c r="H862" s="360"/>
    </row>
    <row r="863" spans="1:8" x14ac:dyDescent="0.25">
      <c r="A863" s="35"/>
      <c r="B863" s="36"/>
      <c r="C863" s="23"/>
      <c r="D863" s="24"/>
      <c r="E863" s="23"/>
      <c r="F863" s="25"/>
      <c r="G863" s="25"/>
      <c r="H863" s="40"/>
    </row>
    <row r="864" spans="1:8" x14ac:dyDescent="0.25">
      <c r="A864" s="35"/>
      <c r="B864" s="36"/>
      <c r="C864" s="23"/>
      <c r="D864" s="24"/>
      <c r="E864" s="23"/>
      <c r="F864" s="25"/>
      <c r="G864" s="25"/>
      <c r="H864" s="40"/>
    </row>
    <row r="865" spans="1:8" x14ac:dyDescent="0.25">
      <c r="A865" s="35"/>
      <c r="B865" s="36"/>
      <c r="C865" s="23"/>
      <c r="D865" s="24"/>
      <c r="E865" s="23"/>
      <c r="F865" s="25"/>
      <c r="G865" s="25"/>
      <c r="H865" s="40"/>
    </row>
    <row r="866" spans="1:8" x14ac:dyDescent="0.25">
      <c r="A866" s="30"/>
      <c r="B866" s="30"/>
      <c r="C866" s="31"/>
      <c r="D866" s="31"/>
      <c r="E866" s="31"/>
      <c r="F866" s="32"/>
      <c r="G866" s="32"/>
      <c r="H866" s="360"/>
    </row>
    <row r="867" spans="1:8" x14ac:dyDescent="0.25">
      <c r="A867" s="35"/>
      <c r="B867" s="36"/>
      <c r="C867" s="23"/>
      <c r="D867" s="24"/>
      <c r="E867" s="23"/>
      <c r="F867" s="25"/>
      <c r="G867" s="25"/>
      <c r="H867" s="40"/>
    </row>
    <row r="868" spans="1:8" x14ac:dyDescent="0.25">
      <c r="A868" s="35"/>
      <c r="B868" s="36"/>
      <c r="C868" s="23"/>
      <c r="D868" s="24"/>
      <c r="E868" s="23"/>
      <c r="F868" s="25"/>
      <c r="G868" s="25"/>
      <c r="H868" s="40"/>
    </row>
    <row r="869" spans="1:8" x14ac:dyDescent="0.25">
      <c r="A869" s="35"/>
      <c r="B869" s="36"/>
      <c r="C869" s="23"/>
      <c r="D869" s="24"/>
      <c r="E869" s="23"/>
      <c r="F869" s="25"/>
      <c r="G869" s="25"/>
      <c r="H869" s="40"/>
    </row>
    <row r="870" spans="1:8" x14ac:dyDescent="0.25">
      <c r="A870" s="30"/>
      <c r="B870" s="30"/>
      <c r="C870" s="31"/>
      <c r="D870" s="31"/>
      <c r="E870" s="31"/>
      <c r="F870" s="32"/>
      <c r="G870" s="32"/>
      <c r="H870" s="360"/>
    </row>
    <row r="871" spans="1:8" x14ac:dyDescent="0.25">
      <c r="A871" s="35"/>
      <c r="B871" s="36"/>
      <c r="C871" s="23"/>
      <c r="D871" s="24"/>
      <c r="E871" s="23"/>
      <c r="F871" s="25"/>
      <c r="G871" s="25"/>
      <c r="H871" s="40"/>
    </row>
    <row r="872" spans="1:8" x14ac:dyDescent="0.25">
      <c r="A872" s="35"/>
      <c r="B872" s="36"/>
      <c r="C872" s="23"/>
      <c r="D872" s="24"/>
      <c r="E872" s="23"/>
      <c r="F872" s="25"/>
      <c r="G872" s="25"/>
      <c r="H872" s="40"/>
    </row>
    <row r="873" spans="1:8" x14ac:dyDescent="0.25">
      <c r="A873" s="35"/>
      <c r="B873" s="36"/>
      <c r="C873" s="23"/>
      <c r="D873" s="24"/>
      <c r="E873" s="23"/>
      <c r="F873" s="25"/>
      <c r="G873" s="25"/>
      <c r="H873" s="40"/>
    </row>
    <row r="874" spans="1:8" x14ac:dyDescent="0.25">
      <c r="A874" s="30"/>
      <c r="B874" s="30"/>
      <c r="C874" s="31"/>
      <c r="D874" s="31"/>
      <c r="E874" s="31"/>
      <c r="F874" s="32"/>
      <c r="G874" s="32"/>
      <c r="H874" s="360"/>
    </row>
    <row r="875" spans="1:8" x14ac:dyDescent="0.25">
      <c r="A875" s="35"/>
      <c r="B875" s="36"/>
      <c r="C875" s="23"/>
      <c r="D875" s="24"/>
      <c r="E875" s="23"/>
      <c r="F875" s="25"/>
      <c r="G875" s="25"/>
      <c r="H875" s="40"/>
    </row>
    <row r="876" spans="1:8" x14ac:dyDescent="0.25">
      <c r="A876" s="35"/>
      <c r="B876" s="36"/>
      <c r="C876" s="23"/>
      <c r="D876" s="24"/>
      <c r="E876" s="23"/>
      <c r="F876" s="25"/>
      <c r="G876" s="25"/>
      <c r="H876" s="40"/>
    </row>
    <row r="877" spans="1:8" x14ac:dyDescent="0.25">
      <c r="A877" s="35"/>
      <c r="B877" s="36"/>
      <c r="C877" s="23"/>
      <c r="D877" s="24"/>
      <c r="E877" s="23"/>
      <c r="F877" s="25"/>
      <c r="G877" s="25"/>
      <c r="H877" s="40"/>
    </row>
    <row r="878" spans="1:8" x14ac:dyDescent="0.25">
      <c r="A878" s="30"/>
      <c r="B878" s="30"/>
      <c r="C878" s="31"/>
      <c r="D878" s="31"/>
      <c r="E878" s="31"/>
      <c r="F878" s="32"/>
      <c r="G878" s="32"/>
      <c r="H878" s="360"/>
    </row>
    <row r="879" spans="1:8" x14ac:dyDescent="0.25">
      <c r="A879" s="35"/>
      <c r="B879" s="36"/>
      <c r="C879" s="23"/>
      <c r="D879" s="24"/>
      <c r="E879" s="23"/>
      <c r="F879" s="25"/>
      <c r="G879" s="25"/>
      <c r="H879" s="40"/>
    </row>
    <row r="880" spans="1:8" x14ac:dyDescent="0.25">
      <c r="A880" s="35"/>
      <c r="B880" s="36"/>
      <c r="C880" s="23"/>
      <c r="D880" s="24"/>
      <c r="E880" s="23"/>
      <c r="F880" s="25"/>
      <c r="G880" s="25"/>
      <c r="H880" s="40"/>
    </row>
    <row r="881" spans="1:8" x14ac:dyDescent="0.25">
      <c r="A881" s="35"/>
      <c r="B881" s="36"/>
      <c r="C881" s="23"/>
      <c r="D881" s="24"/>
      <c r="E881" s="23"/>
      <c r="F881" s="25"/>
      <c r="G881" s="25"/>
      <c r="H881" s="40"/>
    </row>
    <row r="882" spans="1:8" x14ac:dyDescent="0.25">
      <c r="A882" s="30"/>
      <c r="B882" s="30"/>
      <c r="C882" s="31"/>
      <c r="D882" s="31"/>
      <c r="E882" s="31"/>
      <c r="F882" s="32"/>
      <c r="G882" s="32"/>
      <c r="H882" s="360"/>
    </row>
    <row r="883" spans="1:8" x14ac:dyDescent="0.25">
      <c r="A883" s="35"/>
      <c r="B883" s="36"/>
      <c r="C883" s="23"/>
      <c r="D883" s="24"/>
      <c r="E883" s="23"/>
      <c r="F883" s="25"/>
      <c r="G883" s="25"/>
      <c r="H883" s="40"/>
    </row>
    <row r="884" spans="1:8" x14ac:dyDescent="0.25">
      <c r="A884" s="35"/>
      <c r="B884" s="36"/>
      <c r="C884" s="23"/>
      <c r="D884" s="24"/>
      <c r="E884" s="23"/>
      <c r="F884" s="25"/>
      <c r="G884" s="25"/>
      <c r="H884" s="40"/>
    </row>
    <row r="885" spans="1:8" x14ac:dyDescent="0.25">
      <c r="A885" s="35"/>
      <c r="B885" s="36"/>
      <c r="C885" s="23"/>
      <c r="D885" s="24"/>
      <c r="E885" s="23"/>
      <c r="F885" s="25"/>
      <c r="G885" s="25"/>
      <c r="H885" s="40"/>
    </row>
    <row r="886" spans="1:8" x14ac:dyDescent="0.25">
      <c r="A886" s="30"/>
      <c r="B886" s="30"/>
      <c r="C886" s="31"/>
      <c r="D886" s="31"/>
      <c r="E886" s="31"/>
      <c r="F886" s="32"/>
      <c r="G886" s="32"/>
      <c r="H886" s="360"/>
    </row>
    <row r="887" spans="1:8" x14ac:dyDescent="0.25">
      <c r="A887" s="35"/>
      <c r="B887" s="36"/>
      <c r="C887" s="23"/>
      <c r="D887" s="24"/>
      <c r="E887" s="23"/>
      <c r="F887" s="25"/>
      <c r="G887" s="25"/>
      <c r="H887" s="40"/>
    </row>
    <row r="888" spans="1:8" x14ac:dyDescent="0.25">
      <c r="A888" s="35"/>
      <c r="B888" s="36"/>
      <c r="C888" s="23"/>
      <c r="D888" s="24"/>
      <c r="E888" s="23"/>
      <c r="F888" s="25"/>
      <c r="G888" s="25"/>
      <c r="H888" s="40"/>
    </row>
    <row r="889" spans="1:8" x14ac:dyDescent="0.25">
      <c r="A889" s="35"/>
      <c r="B889" s="36"/>
      <c r="C889" s="23"/>
      <c r="D889" s="24"/>
      <c r="E889" s="23"/>
      <c r="F889" s="25"/>
      <c r="G889" s="25"/>
      <c r="H889" s="40"/>
    </row>
    <row r="890" spans="1:8" x14ac:dyDescent="0.25">
      <c r="A890" s="30"/>
      <c r="B890" s="30"/>
      <c r="C890" s="31"/>
      <c r="D890" s="31"/>
      <c r="E890" s="31"/>
      <c r="F890" s="32"/>
      <c r="G890" s="32"/>
      <c r="H890" s="360"/>
    </row>
    <row r="891" spans="1:8" x14ac:dyDescent="0.25">
      <c r="A891" s="14"/>
      <c r="B891" s="15"/>
      <c r="C891" s="14"/>
      <c r="D891" s="14"/>
      <c r="E891" s="14"/>
      <c r="F891" s="16"/>
      <c r="G891" s="16"/>
      <c r="H891" s="359"/>
    </row>
    <row r="892" spans="1:8" x14ac:dyDescent="0.25">
      <c r="A892" s="69"/>
      <c r="B892" s="37"/>
      <c r="C892" s="19"/>
      <c r="D892" s="70"/>
      <c r="E892" s="70"/>
      <c r="F892" s="71"/>
      <c r="G892" s="78"/>
      <c r="H892" s="361"/>
    </row>
    <row r="893" spans="1:8" x14ac:dyDescent="0.25">
      <c r="A893" s="35"/>
      <c r="B893" s="36"/>
      <c r="C893" s="23"/>
      <c r="D893" s="24"/>
      <c r="E893" s="23"/>
      <c r="F893" s="25"/>
      <c r="G893" s="25"/>
      <c r="H893" s="40"/>
    </row>
    <row r="894" spans="1:8" x14ac:dyDescent="0.25">
      <c r="A894" s="35"/>
      <c r="B894" s="36"/>
      <c r="C894" s="23"/>
      <c r="D894" s="24"/>
      <c r="E894" s="23"/>
      <c r="F894" s="25"/>
      <c r="G894" s="25"/>
      <c r="H894" s="40"/>
    </row>
    <row r="895" spans="1:8" x14ac:dyDescent="0.25">
      <c r="A895" s="35"/>
      <c r="B895" s="36"/>
      <c r="C895" s="23"/>
      <c r="D895" s="24"/>
      <c r="E895" s="23"/>
      <c r="F895" s="25"/>
      <c r="G895" s="25"/>
      <c r="H895" s="40"/>
    </row>
    <row r="896" spans="1:8" x14ac:dyDescent="0.25">
      <c r="A896" s="30"/>
      <c r="B896" s="30"/>
      <c r="C896" s="31"/>
      <c r="D896" s="31"/>
      <c r="E896" s="31"/>
      <c r="F896" s="32"/>
      <c r="G896" s="32"/>
      <c r="H896" s="360"/>
    </row>
    <row r="897" spans="1:8" x14ac:dyDescent="0.25">
      <c r="A897" s="35"/>
      <c r="B897" s="36"/>
      <c r="C897" s="23"/>
      <c r="D897" s="24"/>
      <c r="E897" s="23"/>
      <c r="F897" s="25"/>
      <c r="G897" s="25"/>
      <c r="H897" s="40"/>
    </row>
    <row r="898" spans="1:8" x14ac:dyDescent="0.25">
      <c r="A898" s="35"/>
      <c r="B898" s="36"/>
      <c r="C898" s="23"/>
      <c r="D898" s="24"/>
      <c r="E898" s="23"/>
      <c r="F898" s="25"/>
      <c r="G898" s="25"/>
      <c r="H898" s="40"/>
    </row>
    <row r="899" spans="1:8" x14ac:dyDescent="0.25">
      <c r="A899" s="35"/>
      <c r="B899" s="36"/>
      <c r="C899" s="23"/>
      <c r="D899" s="24"/>
      <c r="E899" s="23"/>
      <c r="F899" s="25"/>
      <c r="G899" s="25"/>
      <c r="H899" s="40"/>
    </row>
    <row r="900" spans="1:8" x14ac:dyDescent="0.25">
      <c r="A900" s="30"/>
      <c r="B900" s="30"/>
      <c r="C900" s="31"/>
      <c r="D900" s="31"/>
      <c r="E900" s="31"/>
      <c r="F900" s="32"/>
      <c r="G900" s="32"/>
      <c r="H900" s="360"/>
    </row>
    <row r="901" spans="1:8" x14ac:dyDescent="0.25">
      <c r="A901" s="35"/>
      <c r="B901" s="36"/>
      <c r="C901" s="23"/>
      <c r="D901" s="24"/>
      <c r="E901" s="23"/>
      <c r="F901" s="25"/>
      <c r="G901" s="25"/>
      <c r="H901" s="40"/>
    </row>
    <row r="902" spans="1:8" x14ac:dyDescent="0.25">
      <c r="A902" s="35"/>
      <c r="B902" s="36"/>
      <c r="C902" s="23"/>
      <c r="D902" s="24"/>
      <c r="E902" s="23"/>
      <c r="F902" s="25"/>
      <c r="G902" s="25"/>
      <c r="H902" s="40"/>
    </row>
    <row r="903" spans="1:8" x14ac:dyDescent="0.25">
      <c r="A903" s="35"/>
      <c r="B903" s="36"/>
      <c r="C903" s="23"/>
      <c r="D903" s="24"/>
      <c r="E903" s="23"/>
      <c r="F903" s="25"/>
      <c r="G903" s="25"/>
      <c r="H903" s="40"/>
    </row>
    <row r="904" spans="1:8" x14ac:dyDescent="0.25">
      <c r="A904" s="30"/>
      <c r="B904" s="30"/>
      <c r="C904" s="31"/>
      <c r="D904" s="31"/>
      <c r="E904" s="31"/>
      <c r="F904" s="32"/>
      <c r="G904" s="32"/>
      <c r="H904" s="360"/>
    </row>
    <row r="905" spans="1:8" x14ac:dyDescent="0.25">
      <c r="A905" s="35"/>
      <c r="B905" s="36"/>
      <c r="C905" s="23"/>
      <c r="D905" s="24"/>
      <c r="E905" s="23"/>
      <c r="F905" s="25"/>
      <c r="G905" s="25"/>
      <c r="H905" s="40"/>
    </row>
    <row r="906" spans="1:8" x14ac:dyDescent="0.25">
      <c r="A906" s="35"/>
      <c r="B906" s="36"/>
      <c r="C906" s="23"/>
      <c r="D906" s="24"/>
      <c r="E906" s="23"/>
      <c r="F906" s="25"/>
      <c r="G906" s="25"/>
      <c r="H906" s="40"/>
    </row>
    <row r="907" spans="1:8" x14ac:dyDescent="0.25">
      <c r="A907" s="35"/>
      <c r="B907" s="36"/>
      <c r="C907" s="23"/>
      <c r="D907" s="24"/>
      <c r="E907" s="23"/>
      <c r="F907" s="25"/>
      <c r="G907" s="25"/>
      <c r="H907" s="40"/>
    </row>
    <row r="908" spans="1:8" x14ac:dyDescent="0.25">
      <c r="A908" s="30"/>
      <c r="B908" s="30"/>
      <c r="C908" s="31"/>
      <c r="D908" s="31"/>
      <c r="E908" s="31"/>
      <c r="F908" s="32"/>
      <c r="G908" s="32"/>
      <c r="H908" s="360"/>
    </row>
    <row r="909" spans="1:8" x14ac:dyDescent="0.25">
      <c r="A909" s="35"/>
      <c r="B909" s="36"/>
      <c r="C909" s="23"/>
      <c r="D909" s="24"/>
      <c r="E909" s="23"/>
      <c r="F909" s="25"/>
      <c r="G909" s="25"/>
      <c r="H909" s="40"/>
    </row>
    <row r="910" spans="1:8" x14ac:dyDescent="0.25">
      <c r="A910" s="35"/>
      <c r="B910" s="36"/>
      <c r="C910" s="23"/>
      <c r="D910" s="24"/>
      <c r="E910" s="23"/>
      <c r="F910" s="25"/>
      <c r="G910" s="25"/>
      <c r="H910" s="40"/>
    </row>
    <row r="911" spans="1:8" x14ac:dyDescent="0.25">
      <c r="A911" s="35"/>
      <c r="B911" s="36"/>
      <c r="C911" s="23"/>
      <c r="D911" s="24"/>
      <c r="E911" s="23"/>
      <c r="F911" s="25"/>
      <c r="G911" s="25"/>
      <c r="H911" s="40"/>
    </row>
    <row r="912" spans="1:8" x14ac:dyDescent="0.25">
      <c r="A912" s="30"/>
      <c r="B912" s="30"/>
      <c r="C912" s="31"/>
      <c r="D912" s="31"/>
      <c r="E912" s="31"/>
      <c r="F912" s="32"/>
      <c r="G912" s="32"/>
      <c r="H912" s="360"/>
    </row>
    <row r="913" spans="1:8" x14ac:dyDescent="0.25">
      <c r="A913" s="35"/>
      <c r="B913" s="36"/>
      <c r="C913" s="23"/>
      <c r="D913" s="24"/>
      <c r="E913" s="23"/>
      <c r="F913" s="25"/>
      <c r="G913" s="25"/>
      <c r="H913" s="40"/>
    </row>
    <row r="914" spans="1:8" x14ac:dyDescent="0.25">
      <c r="A914" s="35"/>
      <c r="B914" s="36"/>
      <c r="C914" s="23"/>
      <c r="D914" s="24"/>
      <c r="E914" s="23"/>
      <c r="F914" s="25"/>
      <c r="G914" s="25"/>
      <c r="H914" s="40"/>
    </row>
    <row r="915" spans="1:8" x14ac:dyDescent="0.25">
      <c r="A915" s="35"/>
      <c r="B915" s="36"/>
      <c r="C915" s="23"/>
      <c r="D915" s="24"/>
      <c r="E915" s="23"/>
      <c r="F915" s="25"/>
      <c r="G915" s="25"/>
      <c r="H915" s="40"/>
    </row>
    <row r="916" spans="1:8" x14ac:dyDescent="0.25">
      <c r="A916" s="30"/>
      <c r="B916" s="30"/>
      <c r="C916" s="31"/>
      <c r="D916" s="31"/>
      <c r="E916" s="31"/>
      <c r="F916" s="32"/>
      <c r="G916" s="32"/>
      <c r="H916" s="360"/>
    </row>
    <row r="917" spans="1:8" x14ac:dyDescent="0.25">
      <c r="A917" s="35"/>
      <c r="B917" s="36"/>
      <c r="C917" s="23"/>
      <c r="D917" s="24"/>
      <c r="E917" s="23"/>
      <c r="F917" s="25"/>
      <c r="G917" s="25"/>
      <c r="H917" s="40"/>
    </row>
    <row r="918" spans="1:8" x14ac:dyDescent="0.25">
      <c r="A918" s="35"/>
      <c r="B918" s="36"/>
      <c r="C918" s="23"/>
      <c r="D918" s="24"/>
      <c r="E918" s="23"/>
      <c r="F918" s="25"/>
      <c r="G918" s="25"/>
      <c r="H918" s="40"/>
    </row>
    <row r="919" spans="1:8" x14ac:dyDescent="0.25">
      <c r="A919" s="35"/>
      <c r="B919" s="36"/>
      <c r="C919" s="23"/>
      <c r="D919" s="24"/>
      <c r="E919" s="23"/>
      <c r="F919" s="25"/>
      <c r="G919" s="25"/>
      <c r="H919" s="40"/>
    </row>
    <row r="920" spans="1:8" x14ac:dyDescent="0.25">
      <c r="A920" s="30"/>
      <c r="B920" s="30"/>
      <c r="C920" s="31"/>
      <c r="D920" s="31"/>
      <c r="E920" s="31"/>
      <c r="F920" s="32"/>
      <c r="G920" s="32"/>
      <c r="H920" s="360"/>
    </row>
    <row r="921" spans="1:8" x14ac:dyDescent="0.25">
      <c r="A921" s="35"/>
      <c r="B921" s="36"/>
      <c r="C921" s="23"/>
      <c r="D921" s="24"/>
      <c r="E921" s="23"/>
      <c r="F921" s="25"/>
      <c r="G921" s="25"/>
      <c r="H921" s="40"/>
    </row>
    <row r="922" spans="1:8" x14ac:dyDescent="0.25">
      <c r="A922" s="35"/>
      <c r="B922" s="36"/>
      <c r="C922" s="23"/>
      <c r="D922" s="24"/>
      <c r="E922" s="23"/>
      <c r="F922" s="25"/>
      <c r="G922" s="25"/>
      <c r="H922" s="40"/>
    </row>
    <row r="923" spans="1:8" x14ac:dyDescent="0.25">
      <c r="A923" s="35"/>
      <c r="B923" s="36"/>
      <c r="C923" s="23"/>
      <c r="D923" s="24"/>
      <c r="E923" s="23"/>
      <c r="F923" s="25"/>
      <c r="G923" s="25"/>
      <c r="H923" s="40"/>
    </row>
    <row r="924" spans="1:8" x14ac:dyDescent="0.25">
      <c r="A924" s="30"/>
      <c r="B924" s="30"/>
      <c r="C924" s="31"/>
      <c r="D924" s="31"/>
      <c r="E924" s="31"/>
      <c r="F924" s="32"/>
      <c r="G924" s="32"/>
      <c r="H924" s="360"/>
    </row>
    <row r="925" spans="1:8" x14ac:dyDescent="0.25">
      <c r="A925" s="35"/>
      <c r="B925" s="36"/>
      <c r="C925" s="23"/>
      <c r="D925" s="24"/>
      <c r="E925" s="23"/>
      <c r="F925" s="25"/>
      <c r="G925" s="25"/>
      <c r="H925" s="40"/>
    </row>
    <row r="926" spans="1:8" x14ac:dyDescent="0.25">
      <c r="A926" s="35"/>
      <c r="B926" s="36"/>
      <c r="C926" s="23"/>
      <c r="D926" s="24"/>
      <c r="E926" s="23"/>
      <c r="F926" s="25"/>
      <c r="G926" s="25"/>
      <c r="H926" s="40"/>
    </row>
    <row r="927" spans="1:8" x14ac:dyDescent="0.25">
      <c r="A927" s="35"/>
      <c r="B927" s="36"/>
      <c r="C927" s="23"/>
      <c r="D927" s="24"/>
      <c r="E927" s="23"/>
      <c r="F927" s="25"/>
      <c r="G927" s="25"/>
      <c r="H927" s="40"/>
    </row>
    <row r="928" spans="1:8" x14ac:dyDescent="0.25">
      <c r="A928" s="30"/>
      <c r="B928" s="30"/>
      <c r="C928" s="31"/>
      <c r="D928" s="31"/>
      <c r="E928" s="31"/>
      <c r="F928" s="32"/>
      <c r="G928" s="32"/>
      <c r="H928" s="360"/>
    </row>
    <row r="929" spans="1:8" x14ac:dyDescent="0.25">
      <c r="A929" s="35"/>
      <c r="B929" s="36"/>
      <c r="C929" s="23"/>
      <c r="D929" s="24"/>
      <c r="E929" s="23"/>
      <c r="F929" s="25"/>
      <c r="G929" s="25"/>
      <c r="H929" s="40"/>
    </row>
    <row r="930" spans="1:8" x14ac:dyDescent="0.25">
      <c r="A930" s="35"/>
      <c r="B930" s="36"/>
      <c r="C930" s="23"/>
      <c r="D930" s="24"/>
      <c r="E930" s="23"/>
      <c r="F930" s="25"/>
      <c r="G930" s="25"/>
      <c r="H930" s="40"/>
    </row>
    <row r="931" spans="1:8" x14ac:dyDescent="0.25">
      <c r="A931" s="35"/>
      <c r="B931" s="36"/>
      <c r="C931" s="23"/>
      <c r="D931" s="24"/>
      <c r="E931" s="23"/>
      <c r="F931" s="25"/>
      <c r="G931" s="25"/>
      <c r="H931" s="40"/>
    </row>
    <row r="932" spans="1:8" x14ac:dyDescent="0.25">
      <c r="A932" s="30"/>
      <c r="B932" s="30"/>
      <c r="C932" s="31"/>
      <c r="D932" s="31"/>
      <c r="E932" s="31"/>
      <c r="F932" s="32"/>
      <c r="G932" s="32"/>
      <c r="H932" s="360"/>
    </row>
    <row r="933" spans="1:8" x14ac:dyDescent="0.25">
      <c r="A933" s="35"/>
      <c r="B933" s="36"/>
      <c r="C933" s="23"/>
      <c r="D933" s="24"/>
      <c r="E933" s="23"/>
      <c r="F933" s="25"/>
      <c r="G933" s="25"/>
      <c r="H933" s="40"/>
    </row>
    <row r="934" spans="1:8" x14ac:dyDescent="0.25">
      <c r="A934" s="35"/>
      <c r="B934" s="36"/>
      <c r="C934" s="23"/>
      <c r="D934" s="24"/>
      <c r="E934" s="23"/>
      <c r="F934" s="25"/>
      <c r="G934" s="25"/>
      <c r="H934" s="40"/>
    </row>
    <row r="935" spans="1:8" x14ac:dyDescent="0.25">
      <c r="A935" s="35"/>
      <c r="B935" s="36"/>
      <c r="C935" s="23"/>
      <c r="D935" s="24"/>
      <c r="E935" s="23"/>
      <c r="F935" s="25"/>
      <c r="G935" s="25"/>
      <c r="H935" s="40"/>
    </row>
    <row r="936" spans="1:8" x14ac:dyDescent="0.25">
      <c r="A936" s="30"/>
      <c r="B936" s="30"/>
      <c r="C936" s="31"/>
      <c r="D936" s="31"/>
      <c r="E936" s="31"/>
      <c r="F936" s="32"/>
      <c r="G936" s="32"/>
      <c r="H936" s="360"/>
    </row>
    <row r="937" spans="1:8" x14ac:dyDescent="0.25">
      <c r="A937" s="14"/>
      <c r="B937" s="15"/>
      <c r="C937" s="14"/>
      <c r="D937" s="14"/>
      <c r="E937" s="14"/>
      <c r="F937" s="16"/>
      <c r="G937" s="16"/>
      <c r="H937" s="359"/>
    </row>
    <row r="938" spans="1:8" x14ac:dyDescent="0.25">
      <c r="A938" s="69"/>
      <c r="B938" s="37"/>
      <c r="C938" s="19"/>
      <c r="D938" s="70"/>
      <c r="E938" s="70"/>
      <c r="F938" s="71"/>
      <c r="G938" s="78"/>
      <c r="H938" s="361"/>
    </row>
    <row r="939" spans="1:8" x14ac:dyDescent="0.25">
      <c r="A939" s="35"/>
      <c r="B939" s="36"/>
      <c r="C939" s="23"/>
      <c r="D939" s="24"/>
      <c r="E939" s="23"/>
      <c r="F939" s="25"/>
      <c r="G939" s="25"/>
      <c r="H939" s="40"/>
    </row>
    <row r="940" spans="1:8" x14ac:dyDescent="0.25">
      <c r="A940" s="35"/>
      <c r="B940" s="36"/>
      <c r="C940" s="23"/>
      <c r="D940" s="24"/>
      <c r="E940" s="23"/>
      <c r="F940" s="25"/>
      <c r="G940" s="25"/>
      <c r="H940" s="40"/>
    </row>
    <row r="941" spans="1:8" x14ac:dyDescent="0.25">
      <c r="A941" s="35"/>
      <c r="B941" s="36"/>
      <c r="C941" s="23"/>
      <c r="D941" s="24"/>
      <c r="E941" s="23"/>
      <c r="F941" s="25"/>
      <c r="G941" s="25"/>
      <c r="H941" s="40"/>
    </row>
    <row r="942" spans="1:8" x14ac:dyDescent="0.25">
      <c r="A942" s="35"/>
      <c r="B942" s="36"/>
      <c r="C942" s="23"/>
      <c r="D942" s="24"/>
      <c r="E942" s="23"/>
      <c r="F942" s="25"/>
      <c r="G942" s="25"/>
      <c r="H942" s="40"/>
    </row>
    <row r="943" spans="1:8" x14ac:dyDescent="0.25">
      <c r="A943" s="35"/>
      <c r="B943" s="36"/>
      <c r="C943" s="23"/>
      <c r="D943" s="24"/>
      <c r="E943" s="23"/>
      <c r="F943" s="25"/>
      <c r="G943" s="25"/>
      <c r="H943" s="40"/>
    </row>
    <row r="944" spans="1:8" x14ac:dyDescent="0.25">
      <c r="A944" s="35"/>
      <c r="B944" s="36"/>
      <c r="C944" s="23"/>
      <c r="D944" s="24"/>
      <c r="E944" s="23"/>
      <c r="F944" s="25"/>
      <c r="G944" s="25"/>
      <c r="H944" s="40"/>
    </row>
    <row r="945" spans="1:8" x14ac:dyDescent="0.25">
      <c r="A945" s="35"/>
      <c r="B945" s="36"/>
      <c r="C945" s="23"/>
      <c r="D945" s="24"/>
      <c r="E945" s="23"/>
      <c r="F945" s="25"/>
      <c r="G945" s="25"/>
      <c r="H945" s="40"/>
    </row>
    <row r="946" spans="1:8" x14ac:dyDescent="0.25">
      <c r="A946" s="35"/>
      <c r="B946" s="36"/>
      <c r="C946" s="23"/>
      <c r="D946" s="24"/>
      <c r="E946" s="23"/>
      <c r="F946" s="25"/>
      <c r="G946" s="25"/>
      <c r="H946" s="40"/>
    </row>
    <row r="947" spans="1:8" x14ac:dyDescent="0.25">
      <c r="A947" s="35"/>
      <c r="B947" s="36"/>
      <c r="C947" s="23"/>
      <c r="D947" s="24"/>
      <c r="E947" s="23"/>
      <c r="F947" s="25"/>
      <c r="G947" s="25"/>
      <c r="H947" s="40"/>
    </row>
    <row r="948" spans="1:8" x14ac:dyDescent="0.25">
      <c r="A948" s="35"/>
      <c r="B948" s="36"/>
      <c r="C948" s="23"/>
      <c r="D948" s="24"/>
      <c r="E948" s="23"/>
      <c r="F948" s="25"/>
      <c r="G948" s="25"/>
      <c r="H948" s="40"/>
    </row>
    <row r="949" spans="1:8" x14ac:dyDescent="0.25">
      <c r="A949" s="35"/>
      <c r="B949" s="36"/>
      <c r="C949" s="23"/>
      <c r="D949" s="24"/>
      <c r="E949" s="23"/>
      <c r="F949" s="25"/>
      <c r="G949" s="25"/>
      <c r="H949" s="40"/>
    </row>
    <row r="950" spans="1:8" x14ac:dyDescent="0.25">
      <c r="A950" s="30"/>
      <c r="B950" s="30"/>
      <c r="C950" s="31"/>
      <c r="D950" s="31"/>
      <c r="E950" s="31"/>
      <c r="F950" s="32"/>
      <c r="G950" s="32"/>
      <c r="H950" s="360"/>
    </row>
    <row r="951" spans="1:8" x14ac:dyDescent="0.25">
      <c r="A951" s="17"/>
      <c r="B951" s="79"/>
      <c r="C951" s="75"/>
      <c r="D951" s="80"/>
      <c r="E951" s="75"/>
      <c r="F951" s="76"/>
      <c r="G951" s="77"/>
      <c r="H951" s="356"/>
    </row>
    <row r="952" spans="1:8" x14ac:dyDescent="0.25">
      <c r="A952" s="35"/>
      <c r="B952" s="36"/>
      <c r="C952" s="23"/>
      <c r="D952" s="24"/>
      <c r="E952" s="23"/>
      <c r="F952" s="25"/>
      <c r="G952" s="25"/>
      <c r="H952" s="40"/>
    </row>
    <row r="953" spans="1:8" x14ac:dyDescent="0.25">
      <c r="A953" s="35"/>
      <c r="B953" s="36"/>
      <c r="C953" s="23"/>
      <c r="D953" s="24"/>
      <c r="E953" s="23"/>
      <c r="F953" s="25"/>
      <c r="G953" s="25"/>
      <c r="H953" s="40"/>
    </row>
    <row r="954" spans="1:8" x14ac:dyDescent="0.25">
      <c r="A954" s="35"/>
      <c r="B954" s="36"/>
      <c r="C954" s="23"/>
      <c r="D954" s="24"/>
      <c r="E954" s="23"/>
      <c r="F954" s="25"/>
      <c r="G954" s="25"/>
      <c r="H954" s="40"/>
    </row>
    <row r="955" spans="1:8" x14ac:dyDescent="0.25">
      <c r="A955" s="30"/>
      <c r="B955" s="30"/>
      <c r="C955" s="31"/>
      <c r="D955" s="31"/>
      <c r="E955" s="31"/>
      <c r="F955" s="32"/>
      <c r="G955" s="32"/>
      <c r="H955" s="360"/>
    </row>
    <row r="956" spans="1:8" x14ac:dyDescent="0.25">
      <c r="A956" s="17"/>
      <c r="B956" s="79"/>
      <c r="C956" s="75"/>
      <c r="D956" s="81"/>
      <c r="E956" s="75"/>
      <c r="F956" s="76"/>
      <c r="G956" s="77"/>
      <c r="H956" s="356"/>
    </row>
    <row r="957" spans="1:8" x14ac:dyDescent="0.25">
      <c r="A957" s="35"/>
      <c r="B957" s="36"/>
      <c r="C957" s="23"/>
      <c r="D957" s="24"/>
      <c r="E957" s="23"/>
      <c r="F957" s="25"/>
      <c r="G957" s="25"/>
      <c r="H957" s="40"/>
    </row>
    <row r="958" spans="1:8" x14ac:dyDescent="0.25">
      <c r="A958" s="35"/>
      <c r="B958" s="36"/>
      <c r="C958" s="23"/>
      <c r="D958" s="24"/>
      <c r="E958" s="23"/>
      <c r="F958" s="25"/>
      <c r="G958" s="25"/>
      <c r="H958" s="40"/>
    </row>
    <row r="959" spans="1:8" x14ac:dyDescent="0.25">
      <c r="A959" s="35"/>
      <c r="B959" s="36"/>
      <c r="C959" s="23"/>
      <c r="D959" s="24"/>
      <c r="E959" s="23"/>
      <c r="F959" s="25"/>
      <c r="G959" s="25"/>
      <c r="H959" s="40"/>
    </row>
    <row r="960" spans="1:8" x14ac:dyDescent="0.25">
      <c r="A960" s="30"/>
      <c r="B960" s="30"/>
      <c r="C960" s="31"/>
      <c r="D960" s="31"/>
      <c r="E960" s="31"/>
      <c r="F960" s="32"/>
      <c r="G960" s="32"/>
      <c r="H960" s="360"/>
    </row>
    <row r="961" spans="1:8" x14ac:dyDescent="0.25">
      <c r="A961" s="14"/>
      <c r="B961" s="15"/>
      <c r="C961" s="14"/>
      <c r="D961" s="14"/>
      <c r="E961" s="14"/>
      <c r="F961" s="16"/>
      <c r="G961" s="16"/>
      <c r="H961" s="359"/>
    </row>
    <row r="962" spans="1:8" x14ac:dyDescent="0.25">
      <c r="A962" s="17"/>
      <c r="B962" s="41"/>
      <c r="C962" s="19"/>
      <c r="D962" s="20"/>
      <c r="E962" s="19"/>
      <c r="F962" s="21"/>
      <c r="G962" s="21"/>
      <c r="H962" s="358"/>
    </row>
    <row r="963" spans="1:8" x14ac:dyDescent="0.25">
      <c r="A963" s="35"/>
      <c r="B963" s="36"/>
      <c r="C963" s="23"/>
      <c r="D963" s="24"/>
      <c r="E963" s="23"/>
      <c r="F963" s="25"/>
      <c r="G963" s="25"/>
      <c r="H963" s="40"/>
    </row>
    <row r="964" spans="1:8" x14ac:dyDescent="0.25">
      <c r="A964" s="35"/>
      <c r="B964" s="36"/>
      <c r="C964" s="23"/>
      <c r="D964" s="24"/>
      <c r="E964" s="23"/>
      <c r="F964" s="25"/>
      <c r="G964" s="25"/>
      <c r="H964" s="40"/>
    </row>
    <row r="965" spans="1:8" x14ac:dyDescent="0.25">
      <c r="A965" s="35"/>
      <c r="B965" s="36"/>
      <c r="C965" s="23"/>
      <c r="D965" s="24"/>
      <c r="E965" s="23"/>
      <c r="F965" s="25"/>
      <c r="G965" s="25"/>
      <c r="H965" s="40"/>
    </row>
    <row r="966" spans="1:8" x14ac:dyDescent="0.25">
      <c r="A966" s="35"/>
      <c r="B966" s="36"/>
      <c r="C966" s="23"/>
      <c r="D966" s="24"/>
      <c r="E966" s="23"/>
      <c r="F966" s="25"/>
      <c r="G966" s="25"/>
      <c r="H966" s="40"/>
    </row>
    <row r="967" spans="1:8" x14ac:dyDescent="0.25">
      <c r="A967" s="35"/>
      <c r="B967" s="36"/>
      <c r="C967" s="23"/>
      <c r="D967" s="24"/>
      <c r="E967" s="23"/>
      <c r="F967" s="25"/>
      <c r="G967" s="25"/>
      <c r="H967" s="40"/>
    </row>
    <row r="968" spans="1:8" x14ac:dyDescent="0.25">
      <c r="A968" s="35"/>
      <c r="B968" s="36"/>
      <c r="C968" s="23"/>
      <c r="D968" s="24"/>
      <c r="E968" s="23"/>
      <c r="F968" s="25"/>
      <c r="G968" s="25"/>
      <c r="H968" s="40"/>
    </row>
    <row r="969" spans="1:8" x14ac:dyDescent="0.25">
      <c r="A969" s="30"/>
      <c r="B969" s="30"/>
      <c r="C969" s="31"/>
      <c r="D969" s="31"/>
      <c r="E969" s="31"/>
      <c r="F969" s="32"/>
      <c r="G969" s="32"/>
      <c r="H969" s="360"/>
    </row>
    <row r="970" spans="1:8" x14ac:dyDescent="0.25">
      <c r="A970" s="17"/>
      <c r="B970" s="50"/>
      <c r="C970" s="19"/>
      <c r="D970" s="70"/>
      <c r="E970" s="70"/>
      <c r="F970" s="65"/>
      <c r="G970" s="28"/>
      <c r="H970" s="356"/>
    </row>
    <row r="971" spans="1:8" x14ac:dyDescent="0.25">
      <c r="A971" s="35"/>
      <c r="B971" s="36"/>
      <c r="C971" s="23"/>
      <c r="D971" s="24"/>
      <c r="E971" s="23"/>
      <c r="F971" s="25"/>
      <c r="G971" s="25"/>
      <c r="H971" s="40"/>
    </row>
    <row r="972" spans="1:8" x14ac:dyDescent="0.25">
      <c r="A972" s="35"/>
      <c r="B972" s="36"/>
      <c r="C972" s="23"/>
      <c r="D972" s="24"/>
      <c r="E972" s="23"/>
      <c r="F972" s="25"/>
      <c r="G972" s="25"/>
      <c r="H972" s="40"/>
    </row>
    <row r="973" spans="1:8" x14ac:dyDescent="0.25">
      <c r="A973" s="35"/>
      <c r="B973" s="36"/>
      <c r="C973" s="23"/>
      <c r="D973" s="24"/>
      <c r="E973" s="23"/>
      <c r="F973" s="25"/>
      <c r="G973" s="25"/>
      <c r="H973" s="40"/>
    </row>
    <row r="974" spans="1:8" x14ac:dyDescent="0.25">
      <c r="A974" s="30"/>
      <c r="B974" s="30"/>
      <c r="C974" s="31"/>
      <c r="D974" s="31"/>
      <c r="E974" s="31"/>
      <c r="F974" s="32"/>
      <c r="G974" s="32"/>
      <c r="H974" s="360"/>
    </row>
    <row r="975" spans="1:8" x14ac:dyDescent="0.25">
      <c r="A975" s="14"/>
      <c r="B975" s="15"/>
      <c r="C975" s="14"/>
      <c r="D975" s="14"/>
      <c r="E975" s="14"/>
      <c r="F975" s="16"/>
      <c r="G975" s="16"/>
      <c r="H975" s="359"/>
    </row>
    <row r="976" spans="1:8" x14ac:dyDescent="0.25">
      <c r="A976" s="69"/>
      <c r="B976" s="41"/>
      <c r="C976" s="19"/>
      <c r="D976" s="70"/>
      <c r="E976" s="70"/>
      <c r="F976" s="71"/>
      <c r="G976" s="78"/>
      <c r="H976" s="361"/>
    </row>
    <row r="977" spans="1:8" x14ac:dyDescent="0.25">
      <c r="A977" s="69"/>
      <c r="B977" s="50"/>
      <c r="C977" s="19"/>
      <c r="D977" s="70"/>
      <c r="E977" s="70"/>
      <c r="F977" s="71"/>
      <c r="G977" s="78"/>
      <c r="H977" s="361"/>
    </row>
    <row r="978" spans="1:8" x14ac:dyDescent="0.25">
      <c r="A978" s="35"/>
      <c r="B978" s="36"/>
      <c r="C978" s="23"/>
      <c r="D978" s="24"/>
      <c r="E978" s="23"/>
      <c r="F978" s="25"/>
      <c r="G978" s="25"/>
      <c r="H978" s="40"/>
    </row>
    <row r="979" spans="1:8" x14ac:dyDescent="0.25">
      <c r="A979" s="35"/>
      <c r="B979" s="36"/>
      <c r="C979" s="23"/>
      <c r="D979" s="24"/>
      <c r="E979" s="23"/>
      <c r="F979" s="25"/>
      <c r="G979" s="25"/>
      <c r="H979" s="40"/>
    </row>
    <row r="980" spans="1:8" x14ac:dyDescent="0.25">
      <c r="A980" s="35"/>
      <c r="B980" s="36"/>
      <c r="C980" s="23"/>
      <c r="D980" s="24"/>
      <c r="E980" s="23"/>
      <c r="F980" s="25"/>
      <c r="G980" s="25"/>
      <c r="H980" s="40"/>
    </row>
    <row r="981" spans="1:8" x14ac:dyDescent="0.25">
      <c r="A981" s="35"/>
      <c r="B981" s="36"/>
      <c r="C981" s="23"/>
      <c r="D981" s="24"/>
      <c r="E981" s="23"/>
      <c r="F981" s="25"/>
      <c r="G981" s="25"/>
      <c r="H981" s="40"/>
    </row>
    <row r="982" spans="1:8" x14ac:dyDescent="0.25">
      <c r="A982" s="35"/>
      <c r="B982" s="36"/>
      <c r="C982" s="23"/>
      <c r="D982" s="24"/>
      <c r="E982" s="23"/>
      <c r="F982" s="25"/>
      <c r="G982" s="25"/>
      <c r="H982" s="40"/>
    </row>
    <row r="983" spans="1:8" x14ac:dyDescent="0.25">
      <c r="A983" s="35"/>
      <c r="B983" s="36"/>
      <c r="C983" s="23"/>
      <c r="D983" s="24"/>
      <c r="E983" s="23"/>
      <c r="F983" s="25"/>
      <c r="G983" s="25"/>
      <c r="H983" s="40"/>
    </row>
    <row r="984" spans="1:8" x14ac:dyDescent="0.25">
      <c r="A984" s="30"/>
      <c r="B984" s="30"/>
      <c r="C984" s="31"/>
      <c r="D984" s="31"/>
      <c r="E984" s="31"/>
      <c r="F984" s="32"/>
      <c r="G984" s="32"/>
      <c r="H984" s="360"/>
    </row>
    <row r="985" spans="1:8" x14ac:dyDescent="0.25">
      <c r="A985" s="82"/>
      <c r="B985" s="50"/>
      <c r="C985" s="19"/>
      <c r="D985" s="70"/>
      <c r="E985" s="70"/>
      <c r="F985" s="71"/>
      <c r="G985" s="78"/>
      <c r="H985" s="361"/>
    </row>
    <row r="986" spans="1:8" x14ac:dyDescent="0.25">
      <c r="A986" s="35"/>
      <c r="B986" s="36"/>
      <c r="C986" s="23"/>
      <c r="D986" s="24"/>
      <c r="E986" s="23"/>
      <c r="F986" s="25"/>
      <c r="G986" s="25"/>
      <c r="H986" s="40"/>
    </row>
    <row r="987" spans="1:8" x14ac:dyDescent="0.25">
      <c r="A987" s="35"/>
      <c r="B987" s="36"/>
      <c r="C987" s="23"/>
      <c r="D987" s="24"/>
      <c r="E987" s="23"/>
      <c r="F987" s="25"/>
      <c r="G987" s="25"/>
      <c r="H987" s="40"/>
    </row>
    <row r="988" spans="1:8" x14ac:dyDescent="0.25">
      <c r="A988" s="35"/>
      <c r="B988" s="36"/>
      <c r="C988" s="23"/>
      <c r="D988" s="24"/>
      <c r="E988" s="23"/>
      <c r="F988" s="25"/>
      <c r="G988" s="25"/>
      <c r="H988" s="40"/>
    </row>
    <row r="989" spans="1:8" x14ac:dyDescent="0.25">
      <c r="A989" s="35"/>
      <c r="B989" s="36"/>
      <c r="C989" s="23"/>
      <c r="D989" s="24"/>
      <c r="E989" s="23"/>
      <c r="F989" s="25"/>
      <c r="G989" s="25"/>
      <c r="H989" s="40"/>
    </row>
    <row r="990" spans="1:8" x14ac:dyDescent="0.25">
      <c r="A990" s="35"/>
      <c r="B990" s="36"/>
      <c r="C990" s="23"/>
      <c r="D990" s="24"/>
      <c r="E990" s="23"/>
      <c r="F990" s="25"/>
      <c r="G990" s="25"/>
      <c r="H990" s="40"/>
    </row>
    <row r="991" spans="1:8" x14ac:dyDescent="0.25">
      <c r="A991" s="35"/>
      <c r="B991" s="36"/>
      <c r="C991" s="23"/>
      <c r="D991" s="24"/>
      <c r="E991" s="23"/>
      <c r="F991" s="25"/>
      <c r="G991" s="25"/>
      <c r="H991" s="40"/>
    </row>
    <row r="992" spans="1:8" x14ac:dyDescent="0.25">
      <c r="A992" s="35"/>
      <c r="B992" s="36"/>
      <c r="C992" s="23"/>
      <c r="D992" s="24"/>
      <c r="E992" s="23"/>
      <c r="F992" s="25"/>
      <c r="G992" s="25"/>
      <c r="H992" s="40"/>
    </row>
    <row r="993" spans="1:8" x14ac:dyDescent="0.25">
      <c r="A993" s="30"/>
      <c r="B993" s="30"/>
      <c r="C993" s="31"/>
      <c r="D993" s="31"/>
      <c r="E993" s="31"/>
      <c r="F993" s="32"/>
      <c r="G993" s="32"/>
      <c r="H993" s="360"/>
    </row>
    <row r="994" spans="1:8" x14ac:dyDescent="0.25">
      <c r="A994" s="82"/>
      <c r="B994" s="50"/>
      <c r="C994" s="73"/>
      <c r="D994" s="83"/>
      <c r="E994" s="83"/>
      <c r="F994" s="84"/>
      <c r="G994" s="85"/>
      <c r="H994" s="361"/>
    </row>
    <row r="995" spans="1:8" x14ac:dyDescent="0.25">
      <c r="A995" s="35"/>
      <c r="B995" s="36"/>
      <c r="C995" s="23"/>
      <c r="D995" s="24"/>
      <c r="E995" s="23"/>
      <c r="F995" s="25"/>
      <c r="G995" s="25"/>
      <c r="H995" s="40"/>
    </row>
    <row r="996" spans="1:8" x14ac:dyDescent="0.25">
      <c r="A996" s="35"/>
      <c r="B996" s="36"/>
      <c r="C996" s="23"/>
      <c r="D996" s="24"/>
      <c r="E996" s="23"/>
      <c r="F996" s="25"/>
      <c r="G996" s="25"/>
      <c r="H996" s="40"/>
    </row>
    <row r="997" spans="1:8" x14ac:dyDescent="0.25">
      <c r="A997" s="35"/>
      <c r="B997" s="36"/>
      <c r="C997" s="23"/>
      <c r="D997" s="24"/>
      <c r="E997" s="23"/>
      <c r="F997" s="25"/>
      <c r="G997" s="25"/>
      <c r="H997" s="40"/>
    </row>
    <row r="998" spans="1:8" x14ac:dyDescent="0.25">
      <c r="A998" s="35"/>
      <c r="B998" s="36"/>
      <c r="C998" s="23"/>
      <c r="D998" s="24"/>
      <c r="E998" s="23"/>
      <c r="F998" s="25"/>
      <c r="G998" s="25"/>
      <c r="H998" s="40"/>
    </row>
    <row r="999" spans="1:8" x14ac:dyDescent="0.25">
      <c r="A999" s="35"/>
      <c r="B999" s="36"/>
      <c r="C999" s="23"/>
      <c r="D999" s="24"/>
      <c r="E999" s="23"/>
      <c r="F999" s="25"/>
      <c r="G999" s="25"/>
      <c r="H999" s="40"/>
    </row>
    <row r="1000" spans="1:8" x14ac:dyDescent="0.25">
      <c r="A1000" s="35"/>
      <c r="B1000" s="36"/>
      <c r="C1000" s="23"/>
      <c r="D1000" s="24"/>
      <c r="E1000" s="23"/>
      <c r="F1000" s="25"/>
      <c r="G1000" s="25"/>
      <c r="H1000" s="40"/>
    </row>
    <row r="1001" spans="1:8" x14ac:dyDescent="0.25">
      <c r="A1001" s="35"/>
      <c r="B1001" s="36"/>
      <c r="C1001" s="23"/>
      <c r="D1001" s="24"/>
      <c r="E1001" s="23"/>
      <c r="F1001" s="25"/>
      <c r="G1001" s="25"/>
      <c r="H1001" s="40"/>
    </row>
    <row r="1002" spans="1:8" x14ac:dyDescent="0.25">
      <c r="A1002" s="30"/>
      <c r="B1002" s="30"/>
      <c r="C1002" s="31"/>
      <c r="D1002" s="31"/>
      <c r="E1002" s="31"/>
      <c r="F1002" s="32"/>
      <c r="G1002" s="32"/>
      <c r="H1002" s="360"/>
    </row>
    <row r="1003" spans="1:8" x14ac:dyDescent="0.25">
      <c r="A1003" s="35"/>
      <c r="B1003" s="36"/>
      <c r="C1003" s="23"/>
      <c r="D1003" s="24"/>
      <c r="E1003" s="23"/>
      <c r="F1003" s="25"/>
      <c r="G1003" s="86"/>
      <c r="H1003" s="362"/>
    </row>
    <row r="1004" spans="1:8" x14ac:dyDescent="0.25">
      <c r="A1004" s="14"/>
      <c r="B1004" s="15"/>
      <c r="C1004" s="14"/>
      <c r="D1004" s="14"/>
      <c r="E1004" s="14"/>
      <c r="F1004" s="16"/>
      <c r="G1004" s="16"/>
      <c r="H1004" s="359"/>
    </row>
    <row r="1005" spans="1:8" x14ac:dyDescent="0.25">
      <c r="A1005" s="17"/>
      <c r="B1005" s="37"/>
      <c r="C1005" s="19"/>
      <c r="D1005" s="20"/>
      <c r="E1005" s="19"/>
      <c r="F1005" s="21"/>
      <c r="G1005" s="21"/>
      <c r="H1005" s="358"/>
    </row>
    <row r="1006" spans="1:8" x14ac:dyDescent="0.25">
      <c r="A1006" s="35"/>
      <c r="B1006" s="36"/>
      <c r="C1006" s="23"/>
      <c r="D1006" s="24"/>
      <c r="E1006" s="23"/>
      <c r="F1006" s="25"/>
      <c r="G1006" s="25"/>
      <c r="H1006" s="40"/>
    </row>
    <row r="1007" spans="1:8" x14ac:dyDescent="0.25">
      <c r="A1007" s="35"/>
      <c r="B1007" s="36"/>
      <c r="C1007" s="23"/>
      <c r="D1007" s="24"/>
      <c r="E1007" s="23"/>
      <c r="F1007" s="25"/>
      <c r="G1007" s="25"/>
      <c r="H1007" s="40"/>
    </row>
    <row r="1008" spans="1:8" x14ac:dyDescent="0.25">
      <c r="A1008" s="35"/>
      <c r="B1008" s="36"/>
      <c r="C1008" s="23"/>
      <c r="D1008" s="24"/>
      <c r="E1008" s="23"/>
      <c r="F1008" s="25"/>
      <c r="G1008" s="25"/>
      <c r="H1008" s="40"/>
    </row>
    <row r="1009" spans="1:8" x14ac:dyDescent="0.25">
      <c r="A1009" s="35"/>
      <c r="B1009" s="36"/>
      <c r="C1009" s="23"/>
      <c r="D1009" s="24"/>
      <c r="E1009" s="23"/>
      <c r="F1009" s="25"/>
      <c r="G1009" s="25"/>
      <c r="H1009" s="40"/>
    </row>
    <row r="1010" spans="1:8" x14ac:dyDescent="0.25">
      <c r="A1010" s="14"/>
      <c r="B1010" s="15"/>
      <c r="C1010" s="14"/>
      <c r="D1010" s="14"/>
      <c r="E1010" s="14"/>
      <c r="F1010" s="16"/>
      <c r="G1010" s="16"/>
      <c r="H1010" s="359"/>
    </row>
    <row r="1011" spans="1:8" x14ac:dyDescent="0.25">
      <c r="A1011" s="17"/>
      <c r="B1011" s="37"/>
      <c r="C1011" s="19"/>
      <c r="D1011" s="20"/>
      <c r="E1011" s="19"/>
      <c r="F1011" s="21"/>
      <c r="G1011" s="21"/>
      <c r="H1011" s="358"/>
    </row>
    <row r="1012" spans="1:8" x14ac:dyDescent="0.25">
      <c r="A1012" s="35"/>
      <c r="B1012" s="36"/>
      <c r="C1012" s="23"/>
      <c r="D1012" s="24"/>
      <c r="E1012" s="23"/>
      <c r="F1012" s="25"/>
      <c r="G1012" s="25"/>
      <c r="H1012" s="40"/>
    </row>
    <row r="1013" spans="1:8" x14ac:dyDescent="0.25">
      <c r="A1013" s="35"/>
      <c r="B1013" s="36"/>
      <c r="C1013" s="23"/>
      <c r="D1013" s="24"/>
      <c r="E1013" s="23"/>
      <c r="F1013" s="25"/>
      <c r="G1013" s="25"/>
      <c r="H1013" s="40"/>
    </row>
    <row r="1014" spans="1:8" x14ac:dyDescent="0.25">
      <c r="A1014" s="14"/>
      <c r="B1014" s="15"/>
      <c r="C1014" s="14"/>
      <c r="D1014" s="14"/>
      <c r="E1014" s="14"/>
      <c r="F1014" s="16"/>
      <c r="G1014" s="16"/>
      <c r="H1014" s="359"/>
    </row>
    <row r="1015" spans="1:8" x14ac:dyDescent="0.25">
      <c r="A1015" s="17"/>
      <c r="B1015" s="37"/>
      <c r="C1015" s="19"/>
      <c r="D1015" s="20"/>
      <c r="E1015" s="19"/>
      <c r="F1015" s="21"/>
      <c r="G1015" s="21"/>
      <c r="H1015" s="358"/>
    </row>
    <row r="1016" spans="1:8" x14ac:dyDescent="0.25">
      <c r="A1016" s="35"/>
      <c r="B1016" s="36"/>
      <c r="C1016" s="23"/>
      <c r="D1016" s="24"/>
      <c r="E1016" s="23"/>
      <c r="F1016" s="25"/>
      <c r="G1016" s="25"/>
      <c r="H1016" s="40"/>
    </row>
    <row r="1017" spans="1:8" x14ac:dyDescent="0.25">
      <c r="A1017" s="14"/>
      <c r="B1017" s="15"/>
      <c r="C1017" s="14"/>
      <c r="D1017" s="14"/>
      <c r="E1017" s="14"/>
      <c r="F1017" s="16"/>
      <c r="G1017" s="16"/>
      <c r="H1017" s="359"/>
    </row>
    <row r="1018" spans="1:8" x14ac:dyDescent="0.25">
      <c r="A1018" s="17"/>
      <c r="B1018" s="37"/>
      <c r="C1018" s="19"/>
      <c r="D1018" s="20"/>
      <c r="E1018" s="19"/>
      <c r="F1018" s="21"/>
      <c r="G1018" s="21"/>
      <c r="H1018" s="358"/>
    </row>
    <row r="1019" spans="1:8" x14ac:dyDescent="0.25">
      <c r="A1019" s="35"/>
      <c r="B1019" s="36"/>
      <c r="C1019" s="23"/>
      <c r="D1019" s="24"/>
      <c r="E1019" s="23"/>
      <c r="F1019" s="25"/>
      <c r="G1019" s="25"/>
      <c r="H1019" s="40"/>
    </row>
    <row r="1020" spans="1:8" x14ac:dyDescent="0.25">
      <c r="A1020" s="14"/>
      <c r="B1020" s="15"/>
      <c r="C1020" s="14"/>
      <c r="D1020" s="14"/>
      <c r="E1020" s="14"/>
      <c r="F1020" s="16"/>
      <c r="G1020" s="16"/>
      <c r="H1020" s="359"/>
    </row>
    <row r="1021" spans="1:8" x14ac:dyDescent="0.25">
      <c r="A1021" s="17"/>
      <c r="B1021" s="37"/>
      <c r="C1021" s="19"/>
      <c r="D1021" s="20"/>
      <c r="E1021" s="19"/>
      <c r="F1021" s="21"/>
      <c r="G1021" s="21"/>
      <c r="H1021" s="358"/>
    </row>
    <row r="1022" spans="1:8" x14ac:dyDescent="0.25">
      <c r="A1022" s="35"/>
      <c r="B1022" s="36"/>
      <c r="C1022" s="23"/>
      <c r="D1022" s="24"/>
      <c r="E1022" s="23"/>
      <c r="F1022" s="25"/>
      <c r="G1022" s="25"/>
      <c r="H1022" s="40"/>
    </row>
    <row r="1023" spans="1:8" x14ac:dyDescent="0.25">
      <c r="A1023" s="14"/>
      <c r="B1023" s="15"/>
      <c r="C1023" s="14"/>
      <c r="D1023" s="14"/>
      <c r="E1023" s="14"/>
      <c r="F1023" s="16"/>
      <c r="G1023" s="16"/>
      <c r="H1023" s="359"/>
    </row>
    <row r="1024" spans="1:8" x14ac:dyDescent="0.25">
      <c r="A1024" s="17"/>
      <c r="B1024" s="37"/>
      <c r="C1024" s="19"/>
      <c r="D1024" s="20"/>
      <c r="E1024" s="19"/>
      <c r="F1024" s="21"/>
      <c r="G1024" s="21"/>
      <c r="H1024" s="358"/>
    </row>
    <row r="1025" spans="1:15" x14ac:dyDescent="0.25">
      <c r="A1025" s="35"/>
      <c r="B1025" s="36"/>
      <c r="C1025" s="23"/>
      <c r="D1025" s="24"/>
      <c r="E1025" s="23"/>
      <c r="F1025" s="25"/>
      <c r="G1025" s="25"/>
      <c r="H1025" s="40"/>
    </row>
    <row r="1026" spans="1:15" x14ac:dyDescent="0.25">
      <c r="A1026" s="35"/>
      <c r="B1026" s="36"/>
      <c r="C1026" s="23"/>
      <c r="D1026" s="24"/>
      <c r="E1026" s="23"/>
      <c r="F1026" s="25"/>
      <c r="G1026" s="25"/>
      <c r="H1026" s="40"/>
    </row>
    <row r="1027" spans="1:15" ht="16.5" thickBot="1" x14ac:dyDescent="0.3">
      <c r="A1027" s="14"/>
      <c r="B1027" s="15"/>
      <c r="C1027" s="14"/>
      <c r="D1027" s="14"/>
      <c r="E1027" s="14"/>
      <c r="F1027" s="16"/>
      <c r="G1027" s="16"/>
      <c r="H1027" s="359"/>
    </row>
    <row r="1028" spans="1:15" ht="16.5" thickBot="1" x14ac:dyDescent="0.3">
      <c r="A1028" s="87"/>
      <c r="B1028" s="87"/>
      <c r="C1028" s="88"/>
      <c r="D1028" s="88"/>
      <c r="E1028" s="88"/>
      <c r="F1028" s="88"/>
      <c r="G1028" s="89"/>
      <c r="H1028" s="363"/>
      <c r="I1028" s="90"/>
      <c r="J1028" s="91"/>
      <c r="K1028" s="91"/>
      <c r="L1028" s="91"/>
      <c r="M1028" s="91"/>
      <c r="N1028" s="91"/>
      <c r="O1028" s="91"/>
    </row>
    <row r="1029" spans="1:15" x14ac:dyDescent="0.25">
      <c r="A1029" s="92"/>
      <c r="B1029" s="93"/>
      <c r="C1029" s="94"/>
      <c r="D1029" s="95"/>
      <c r="E1029" s="95"/>
      <c r="F1029" s="96"/>
      <c r="G1029" s="97"/>
      <c r="H1029" s="364"/>
      <c r="I1029" s="90"/>
      <c r="J1029" s="91"/>
      <c r="K1029" s="91"/>
      <c r="L1029" s="91"/>
      <c r="M1029" s="91"/>
      <c r="N1029" s="91"/>
      <c r="O1029" s="91"/>
    </row>
    <row r="1030" spans="1:15" x14ac:dyDescent="0.25">
      <c r="A1030" s="92"/>
      <c r="B1030" s="98"/>
      <c r="C1030" s="99"/>
      <c r="D1030" s="99"/>
      <c r="E1030" s="99"/>
      <c r="F1030" s="100"/>
      <c r="G1030" s="100"/>
      <c r="H1030" s="365"/>
      <c r="I1030" s="90"/>
      <c r="J1030" s="91"/>
      <c r="K1030" s="91"/>
      <c r="L1030" s="91"/>
      <c r="M1030" s="91"/>
      <c r="N1030" s="91"/>
      <c r="O1030" s="91"/>
    </row>
    <row r="1031" spans="1:15" x14ac:dyDescent="0.25">
      <c r="A1031" s="92"/>
      <c r="B1031" s="98"/>
      <c r="C1031" s="99"/>
      <c r="D1031" s="99"/>
      <c r="E1031" s="99"/>
      <c r="F1031" s="100"/>
      <c r="G1031" s="100"/>
      <c r="H1031" s="365"/>
      <c r="I1031" s="90"/>
      <c r="J1031" s="91"/>
      <c r="K1031" s="91"/>
      <c r="L1031" s="91"/>
      <c r="M1031" s="91"/>
      <c r="N1031" s="91"/>
      <c r="O1031" s="91"/>
    </row>
    <row r="1032" spans="1:15" x14ac:dyDescent="0.25">
      <c r="A1032" s="92"/>
      <c r="B1032" s="101"/>
      <c r="C1032" s="102"/>
      <c r="D1032" s="102"/>
      <c r="E1032" s="102"/>
      <c r="F1032" s="103"/>
      <c r="G1032" s="100"/>
      <c r="H1032" s="365"/>
      <c r="I1032" s="90"/>
      <c r="J1032" s="91"/>
      <c r="K1032" s="91"/>
      <c r="L1032" s="91"/>
      <c r="M1032" s="91"/>
      <c r="N1032" s="91"/>
      <c r="O1032" s="91"/>
    </row>
    <row r="1033" spans="1:15" x14ac:dyDescent="0.25">
      <c r="A1033" s="92"/>
      <c r="B1033" s="98"/>
      <c r="C1033" s="99"/>
      <c r="D1033" s="99"/>
      <c r="E1033" s="99"/>
      <c r="F1033" s="100"/>
      <c r="G1033" s="100"/>
      <c r="H1033" s="365"/>
      <c r="I1033" s="90"/>
      <c r="J1033" s="91"/>
      <c r="K1033" s="91"/>
      <c r="L1033" s="91"/>
      <c r="M1033" s="91"/>
      <c r="N1033" s="91"/>
      <c r="O1033" s="91"/>
    </row>
    <row r="1034" spans="1:15" x14ac:dyDescent="0.25">
      <c r="A1034" s="92"/>
      <c r="B1034" s="98"/>
      <c r="C1034" s="99"/>
      <c r="D1034" s="99"/>
      <c r="E1034" s="99"/>
      <c r="F1034" s="100"/>
      <c r="G1034" s="100"/>
      <c r="H1034" s="365"/>
      <c r="I1034" s="90"/>
      <c r="J1034" s="91"/>
      <c r="K1034" s="91"/>
      <c r="L1034" s="91"/>
      <c r="M1034" s="91"/>
      <c r="N1034" s="91"/>
      <c r="O1034" s="91"/>
    </row>
    <row r="1035" spans="1:15" x14ac:dyDescent="0.25">
      <c r="A1035" s="92"/>
      <c r="B1035" s="98"/>
      <c r="C1035" s="99"/>
      <c r="D1035" s="99"/>
      <c r="E1035" s="99"/>
      <c r="F1035" s="100"/>
      <c r="G1035" s="100"/>
      <c r="H1035" s="365"/>
      <c r="I1035" s="90"/>
      <c r="J1035" s="91"/>
      <c r="K1035" s="91"/>
      <c r="L1035" s="91"/>
      <c r="M1035" s="91"/>
      <c r="N1035" s="91"/>
      <c r="O1035" s="91"/>
    </row>
    <row r="1036" spans="1:15" x14ac:dyDescent="0.25">
      <c r="A1036" s="92"/>
      <c r="B1036" s="98"/>
      <c r="C1036" s="99"/>
      <c r="D1036" s="99"/>
      <c r="E1036" s="99"/>
      <c r="F1036" s="100"/>
      <c r="G1036" s="100"/>
      <c r="H1036" s="365"/>
      <c r="I1036" s="90"/>
      <c r="J1036" s="91"/>
      <c r="K1036" s="91"/>
      <c r="L1036" s="91"/>
      <c r="M1036" s="91"/>
      <c r="N1036" s="91"/>
      <c r="O1036" s="91"/>
    </row>
    <row r="1037" spans="1:15" x14ac:dyDescent="0.25">
      <c r="A1037" s="92"/>
      <c r="B1037" s="98"/>
      <c r="C1037" s="99"/>
      <c r="D1037" s="99"/>
      <c r="E1037" s="99"/>
      <c r="F1037" s="100"/>
      <c r="G1037" s="100"/>
      <c r="H1037" s="365"/>
      <c r="I1037" s="90"/>
      <c r="J1037" s="91"/>
      <c r="K1037" s="91"/>
      <c r="L1037" s="91"/>
      <c r="M1037" s="91"/>
      <c r="N1037" s="91"/>
      <c r="O1037" s="91"/>
    </row>
    <row r="1038" spans="1:15" x14ac:dyDescent="0.25">
      <c r="A1038" s="92"/>
      <c r="B1038" s="98"/>
      <c r="C1038" s="99"/>
      <c r="D1038" s="99"/>
      <c r="E1038" s="99"/>
      <c r="F1038" s="104"/>
      <c r="G1038" s="104"/>
      <c r="H1038" s="366"/>
      <c r="I1038" s="90"/>
      <c r="J1038" s="91"/>
      <c r="K1038" s="91"/>
      <c r="L1038" s="91"/>
      <c r="M1038" s="91"/>
      <c r="N1038" s="91"/>
      <c r="O1038" s="91"/>
    </row>
    <row r="1039" spans="1:15" x14ac:dyDescent="0.25">
      <c r="A1039" s="92"/>
      <c r="B1039" s="105"/>
      <c r="C1039" s="99"/>
      <c r="D1039" s="99"/>
      <c r="E1039" s="99"/>
      <c r="F1039" s="100"/>
      <c r="G1039" s="100"/>
      <c r="H1039" s="365"/>
      <c r="I1039" s="90"/>
      <c r="J1039" s="91"/>
      <c r="K1039" s="91"/>
      <c r="L1039" s="91"/>
      <c r="M1039" s="91"/>
      <c r="N1039" s="91"/>
      <c r="O1039" s="91"/>
    </row>
    <row r="1040" spans="1:15" x14ac:dyDescent="0.25">
      <c r="A1040" s="92"/>
      <c r="B1040" s="105"/>
      <c r="C1040" s="99"/>
      <c r="D1040" s="99"/>
      <c r="E1040" s="99"/>
      <c r="F1040" s="100"/>
      <c r="G1040" s="100"/>
      <c r="H1040" s="365"/>
      <c r="I1040" s="90"/>
      <c r="J1040" s="91"/>
      <c r="K1040" s="91"/>
      <c r="L1040" s="91"/>
      <c r="M1040" s="91"/>
      <c r="N1040" s="91"/>
      <c r="O1040" s="91"/>
    </row>
    <row r="1041" spans="1:15" x14ac:dyDescent="0.25">
      <c r="A1041" s="92"/>
      <c r="B1041" s="105"/>
      <c r="C1041" s="99"/>
      <c r="D1041" s="99"/>
      <c r="E1041" s="99"/>
      <c r="F1041" s="100"/>
      <c r="G1041" s="100"/>
      <c r="H1041" s="365"/>
      <c r="I1041" s="90"/>
      <c r="J1041" s="91"/>
      <c r="K1041" s="91"/>
      <c r="L1041" s="91"/>
      <c r="M1041" s="91"/>
      <c r="N1041" s="91"/>
      <c r="O1041" s="91"/>
    </row>
    <row r="1042" spans="1:15" x14ac:dyDescent="0.25">
      <c r="A1042" s="92"/>
      <c r="B1042" s="106"/>
      <c r="C1042" s="107"/>
      <c r="D1042" s="107"/>
      <c r="E1042" s="107"/>
      <c r="F1042" s="108"/>
      <c r="G1042" s="108"/>
      <c r="H1042" s="367"/>
      <c r="I1042" s="90"/>
      <c r="J1042" s="91"/>
      <c r="K1042" s="91"/>
      <c r="L1042" s="91"/>
      <c r="M1042" s="91"/>
      <c r="N1042" s="91"/>
      <c r="O1042" s="91"/>
    </row>
    <row r="1043" spans="1:15" x14ac:dyDescent="0.25">
      <c r="A1043" s="109"/>
      <c r="B1043" s="105"/>
      <c r="C1043" s="99"/>
      <c r="D1043" s="99"/>
      <c r="E1043" s="99"/>
      <c r="F1043" s="104"/>
      <c r="G1043" s="104"/>
      <c r="H1043" s="366"/>
      <c r="I1043" s="90"/>
      <c r="J1043" s="91"/>
      <c r="K1043" s="91"/>
      <c r="L1043" s="91"/>
      <c r="M1043" s="91"/>
      <c r="N1043" s="91"/>
      <c r="O1043" s="91"/>
    </row>
    <row r="1044" spans="1:15" x14ac:dyDescent="0.25">
      <c r="A1044" s="92"/>
      <c r="B1044" s="110"/>
      <c r="C1044" s="99"/>
      <c r="D1044" s="99"/>
      <c r="E1044" s="99"/>
      <c r="F1044" s="100"/>
      <c r="G1044" s="100"/>
      <c r="H1044" s="365"/>
      <c r="I1044" s="90"/>
      <c r="J1044" s="91"/>
      <c r="K1044" s="91"/>
      <c r="L1044" s="91"/>
      <c r="M1044" s="91"/>
      <c r="N1044" s="91"/>
      <c r="O1044" s="91"/>
    </row>
    <row r="1045" spans="1:15" x14ac:dyDescent="0.25">
      <c r="A1045" s="92"/>
      <c r="B1045" s="110"/>
      <c r="C1045" s="99"/>
      <c r="D1045" s="99"/>
      <c r="E1045" s="99"/>
      <c r="F1045" s="100"/>
      <c r="G1045" s="100"/>
      <c r="H1045" s="365"/>
      <c r="I1045" s="90"/>
      <c r="J1045" s="91"/>
      <c r="K1045" s="91"/>
      <c r="L1045" s="91"/>
      <c r="M1045" s="91"/>
      <c r="N1045" s="91"/>
      <c r="O1045" s="91"/>
    </row>
    <row r="1046" spans="1:15" x14ac:dyDescent="0.25">
      <c r="A1046" s="109"/>
      <c r="B1046" s="98"/>
      <c r="C1046" s="99"/>
      <c r="D1046" s="99"/>
      <c r="E1046" s="99"/>
      <c r="F1046" s="104"/>
      <c r="G1046" s="104"/>
      <c r="H1046" s="366"/>
      <c r="I1046" s="90"/>
      <c r="J1046" s="91"/>
      <c r="K1046" s="91"/>
      <c r="L1046" s="91"/>
      <c r="M1046" s="91"/>
      <c r="N1046" s="91"/>
      <c r="O1046" s="91"/>
    </row>
    <row r="1047" spans="1:15" x14ac:dyDescent="0.25">
      <c r="A1047" s="92"/>
      <c r="B1047" s="98"/>
      <c r="C1047" s="99"/>
      <c r="D1047" s="99"/>
      <c r="E1047" s="99"/>
      <c r="F1047" s="104"/>
      <c r="G1047" s="104"/>
      <c r="H1047" s="366"/>
      <c r="I1047" s="90"/>
      <c r="J1047" s="91"/>
      <c r="K1047" s="91"/>
      <c r="L1047" s="91"/>
      <c r="M1047" s="91"/>
      <c r="N1047" s="91"/>
      <c r="O1047" s="91"/>
    </row>
    <row r="1048" spans="1:15" x14ac:dyDescent="0.25">
      <c r="A1048" s="92"/>
      <c r="B1048" s="110"/>
      <c r="C1048" s="98"/>
      <c r="D1048" s="111"/>
      <c r="E1048" s="112"/>
      <c r="F1048" s="111"/>
      <c r="G1048" s="111"/>
      <c r="H1048" s="368"/>
      <c r="I1048" s="90"/>
      <c r="J1048" s="91"/>
      <c r="K1048" s="91"/>
      <c r="L1048" s="91"/>
      <c r="M1048" s="91"/>
      <c r="N1048" s="91"/>
      <c r="O1048" s="91"/>
    </row>
    <row r="1049" spans="1:15" x14ac:dyDescent="0.25">
      <c r="A1049" s="14"/>
      <c r="B1049" s="15"/>
      <c r="C1049" s="14"/>
      <c r="D1049" s="14"/>
      <c r="E1049" s="14"/>
      <c r="F1049" s="16"/>
      <c r="G1049" s="16"/>
      <c r="H1049" s="359"/>
      <c r="I1049" s="90"/>
      <c r="J1049" s="91"/>
      <c r="K1049" s="91"/>
      <c r="L1049" s="91"/>
      <c r="M1049" s="91"/>
      <c r="N1049" s="91"/>
      <c r="O1049" s="91"/>
    </row>
    <row r="1050" spans="1:15" x14ac:dyDescent="0.25">
      <c r="A1050" s="69"/>
      <c r="B1050" s="37"/>
      <c r="C1050" s="19"/>
      <c r="D1050" s="70"/>
      <c r="E1050" s="70"/>
      <c r="F1050" s="71"/>
      <c r="G1050" s="78"/>
      <c r="H1050" s="361"/>
    </row>
    <row r="1051" spans="1:15" x14ac:dyDescent="0.25">
      <c r="A1051" s="35"/>
      <c r="B1051" s="36"/>
      <c r="C1051" s="23"/>
      <c r="D1051" s="24"/>
      <c r="E1051" s="23"/>
      <c r="F1051" s="25"/>
      <c r="G1051" s="25"/>
      <c r="H1051" s="40"/>
    </row>
    <row r="1052" spans="1:15" x14ac:dyDescent="0.25">
      <c r="A1052" s="35"/>
      <c r="B1052" s="36"/>
      <c r="C1052" s="23"/>
      <c r="D1052" s="24"/>
      <c r="E1052" s="23"/>
      <c r="F1052" s="25"/>
      <c r="G1052" s="25"/>
      <c r="H1052" s="40"/>
    </row>
    <row r="1053" spans="1:15" x14ac:dyDescent="0.25">
      <c r="A1053" s="35"/>
      <c r="B1053" s="36"/>
      <c r="C1053" s="23"/>
      <c r="D1053" s="24"/>
      <c r="E1053" s="23"/>
      <c r="F1053" s="25"/>
      <c r="G1053" s="25"/>
      <c r="H1053" s="40"/>
    </row>
    <row r="1054" spans="1:15" x14ac:dyDescent="0.25">
      <c r="A1054" s="35"/>
      <c r="B1054" s="36"/>
      <c r="C1054" s="23"/>
      <c r="D1054" s="24"/>
      <c r="E1054" s="23"/>
      <c r="F1054" s="25"/>
      <c r="G1054" s="25"/>
      <c r="H1054" s="40"/>
    </row>
    <row r="1055" spans="1:15" x14ac:dyDescent="0.25">
      <c r="A1055" s="35"/>
      <c r="B1055" s="36"/>
      <c r="C1055" s="23"/>
      <c r="D1055" s="24"/>
      <c r="E1055" s="23"/>
      <c r="F1055" s="25"/>
      <c r="G1055" s="25"/>
      <c r="H1055" s="40"/>
    </row>
    <row r="1056" spans="1:15" x14ac:dyDescent="0.25">
      <c r="A1056" s="35"/>
      <c r="B1056" s="36"/>
      <c r="C1056" s="23"/>
      <c r="D1056" s="24"/>
      <c r="E1056" s="23"/>
      <c r="F1056" s="25"/>
      <c r="G1056" s="25"/>
      <c r="H1056" s="40"/>
    </row>
    <row r="1057" spans="1:8" x14ac:dyDescent="0.25">
      <c r="A1057" s="35"/>
      <c r="B1057" s="36"/>
      <c r="C1057" s="23"/>
      <c r="D1057" s="24"/>
      <c r="E1057" s="23"/>
      <c r="F1057" s="25"/>
      <c r="G1057" s="25"/>
      <c r="H1057" s="40"/>
    </row>
    <row r="1058" spans="1:8" x14ac:dyDescent="0.25">
      <c r="A1058" s="14"/>
      <c r="B1058" s="15"/>
      <c r="C1058" s="14"/>
      <c r="D1058" s="14"/>
      <c r="E1058" s="14"/>
      <c r="F1058" s="16"/>
      <c r="G1058" s="16"/>
      <c r="H1058" s="359"/>
    </row>
    <row r="1059" spans="1:8" x14ac:dyDescent="0.25">
      <c r="A1059" s="113"/>
      <c r="B1059" s="114"/>
      <c r="C1059" s="115"/>
      <c r="D1059" s="116"/>
      <c r="E1059" s="116"/>
      <c r="F1059" s="116"/>
      <c r="G1059" s="3"/>
      <c r="H1059" s="369"/>
    </row>
    <row r="1060" spans="1:8" x14ac:dyDescent="0.25">
      <c r="A1060" s="117"/>
      <c r="B1060" s="118"/>
      <c r="C1060" s="82"/>
      <c r="D1060" s="82"/>
      <c r="E1060" s="82"/>
      <c r="F1060" s="82"/>
      <c r="G1060" s="3"/>
      <c r="H1060" s="369"/>
    </row>
    <row r="1061" spans="1:8" x14ac:dyDescent="0.25">
      <c r="A1061" s="119"/>
      <c r="B1061" s="119"/>
      <c r="C1061" s="82"/>
      <c r="D1061" s="82"/>
      <c r="E1061" s="82"/>
      <c r="F1061" s="82"/>
      <c r="G1061" s="82"/>
      <c r="H1061" s="82"/>
    </row>
    <row r="1062" spans="1:8" x14ac:dyDescent="0.25">
      <c r="A1062" s="119"/>
      <c r="B1062" s="119"/>
      <c r="C1062" s="82"/>
      <c r="D1062" s="82"/>
      <c r="E1062" s="82"/>
      <c r="F1062" s="82"/>
      <c r="G1062" s="82"/>
      <c r="H1062" s="82"/>
    </row>
    <row r="1063" spans="1:8" x14ac:dyDescent="0.25">
      <c r="A1063" s="119"/>
      <c r="B1063" s="119"/>
      <c r="C1063" s="82"/>
      <c r="D1063" s="82"/>
      <c r="E1063" s="82"/>
      <c r="F1063" s="82"/>
      <c r="G1063" s="82"/>
      <c r="H1063" s="82"/>
    </row>
    <row r="1064" spans="1:8" x14ac:dyDescent="0.25">
      <c r="A1064" s="119"/>
      <c r="B1064" s="119"/>
      <c r="C1064" s="82"/>
      <c r="D1064" s="82"/>
      <c r="E1064" s="82"/>
      <c r="F1064" s="82"/>
      <c r="G1064" s="82"/>
      <c r="H1064" s="82"/>
    </row>
    <row r="1065" spans="1:8" x14ac:dyDescent="0.25">
      <c r="A1065" s="119"/>
      <c r="B1065" s="119"/>
      <c r="C1065" s="82"/>
      <c r="D1065" s="82"/>
      <c r="E1065" s="82"/>
      <c r="F1065" s="82"/>
      <c r="G1065" s="82"/>
      <c r="H1065" s="82"/>
    </row>
    <row r="1066" spans="1:8" x14ac:dyDescent="0.25">
      <c r="A1066" s="82"/>
      <c r="B1066" s="120"/>
      <c r="C1066" s="82"/>
      <c r="D1066" s="82"/>
      <c r="E1066" s="82"/>
      <c r="F1066" s="82"/>
      <c r="G1066" s="82"/>
      <c r="H1066" s="82"/>
    </row>
    <row r="1067" spans="1:8" x14ac:dyDescent="0.25">
      <c r="B1067" s="121"/>
    </row>
    <row r="1068" spans="1:8" x14ac:dyDescent="0.25">
      <c r="B1068" s="121"/>
    </row>
    <row r="1069" spans="1:8" x14ac:dyDescent="0.25">
      <c r="B1069" s="121"/>
    </row>
    <row r="1070" spans="1:8" x14ac:dyDescent="0.25">
      <c r="B1070" s="121"/>
    </row>
    <row r="1071" spans="1:8" x14ac:dyDescent="0.25">
      <c r="B1071" s="121"/>
    </row>
    <row r="1072" spans="1:8" x14ac:dyDescent="0.25">
      <c r="B1072" s="121"/>
    </row>
    <row r="1073" spans="2:2" x14ac:dyDescent="0.25">
      <c r="B1073" s="121"/>
    </row>
    <row r="1074" spans="2:2" x14ac:dyDescent="0.25">
      <c r="B1074" s="121"/>
    </row>
    <row r="1075" spans="2:2" x14ac:dyDescent="0.25">
      <c r="B1075" s="121"/>
    </row>
    <row r="1076" spans="2:2" x14ac:dyDescent="0.25">
      <c r="B1076" s="121"/>
    </row>
    <row r="1077" spans="2:2" x14ac:dyDescent="0.25">
      <c r="B1077" s="121"/>
    </row>
    <row r="1078" spans="2:2" x14ac:dyDescent="0.25">
      <c r="B1078" s="121"/>
    </row>
    <row r="1079" spans="2:2" x14ac:dyDescent="0.25">
      <c r="B1079" s="121"/>
    </row>
    <row r="1080" spans="2:2" x14ac:dyDescent="0.25">
      <c r="B1080" s="121"/>
    </row>
    <row r="1081" spans="2:2" x14ac:dyDescent="0.25">
      <c r="B1081" s="121"/>
    </row>
    <row r="1082" spans="2:2" x14ac:dyDescent="0.25">
      <c r="B1082" s="121"/>
    </row>
    <row r="1083" spans="2:2" x14ac:dyDescent="0.25">
      <c r="B1083" s="121"/>
    </row>
    <row r="1084" spans="2:2" x14ac:dyDescent="0.25">
      <c r="B1084" s="121"/>
    </row>
    <row r="1085" spans="2:2" x14ac:dyDescent="0.25">
      <c r="B1085" s="121"/>
    </row>
    <row r="1086" spans="2:2" x14ac:dyDescent="0.25">
      <c r="B1086" s="121"/>
    </row>
    <row r="1087" spans="2:2" x14ac:dyDescent="0.25">
      <c r="B1087" s="121"/>
    </row>
    <row r="1088" spans="2:2" x14ac:dyDescent="0.25">
      <c r="B1088" s="121"/>
    </row>
  </sheetData>
  <mergeCells count="7">
    <mergeCell ref="A7:F7"/>
    <mergeCell ref="O7:O8"/>
    <mergeCell ref="A238:E238"/>
    <mergeCell ref="A209:E209"/>
    <mergeCell ref="A184:E184"/>
    <mergeCell ref="A122:E122"/>
    <mergeCell ref="A98:E98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AF22A"/>
  </sheetPr>
  <dimension ref="A1:AP203"/>
  <sheetViews>
    <sheetView topLeftCell="A78" zoomScale="90" zoomScaleNormal="90" workbookViewId="0">
      <selection activeCell="D85" sqref="D85"/>
    </sheetView>
  </sheetViews>
  <sheetFormatPr baseColWidth="10" defaultColWidth="10.625" defaultRowHeight="15.75" x14ac:dyDescent="0.25"/>
  <cols>
    <col min="1" max="1" width="8.625" style="48" customWidth="1"/>
    <col min="2" max="2" width="55.875" style="48" customWidth="1"/>
    <col min="3" max="3" width="20" style="48" customWidth="1"/>
    <col min="4" max="4" width="16.875" style="48" customWidth="1"/>
    <col min="5" max="5" width="9" style="48" customWidth="1"/>
    <col min="6" max="6" width="14.375" style="48" customWidth="1"/>
    <col min="7" max="7" width="21.125" style="48" customWidth="1"/>
    <col min="8" max="8" width="19.125" customWidth="1"/>
    <col min="9" max="9" width="25.25" customWidth="1"/>
    <col min="10" max="10" width="25" customWidth="1"/>
    <col min="11" max="11" width="16.75" customWidth="1"/>
    <col min="12" max="252" width="8.875" customWidth="1"/>
  </cols>
  <sheetData>
    <row r="1" spans="1:11" x14ac:dyDescent="0.25">
      <c r="A1" s="207" t="s">
        <v>1344</v>
      </c>
      <c r="B1" s="207"/>
      <c r="C1" s="207"/>
      <c r="D1" s="207"/>
      <c r="E1" s="207"/>
      <c r="F1" s="207"/>
      <c r="G1" s="207"/>
      <c r="H1" s="207"/>
      <c r="I1" s="2"/>
      <c r="J1" s="2"/>
      <c r="K1" s="2"/>
    </row>
    <row r="2" spans="1:11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2"/>
      <c r="J2" s="2"/>
      <c r="K2" s="2"/>
    </row>
    <row r="3" spans="1:11" x14ac:dyDescent="0.25">
      <c r="A3" s="207" t="s">
        <v>1521</v>
      </c>
      <c r="B3" s="207"/>
      <c r="C3" s="207"/>
      <c r="D3" s="207"/>
      <c r="E3" s="207"/>
      <c r="F3" s="207"/>
      <c r="G3" s="207"/>
      <c r="H3" s="207"/>
      <c r="I3" s="2"/>
      <c r="J3" s="2"/>
      <c r="K3" s="2"/>
    </row>
    <row r="4" spans="1:11" ht="16.5" thickBot="1" x14ac:dyDescent="0.3">
      <c r="A4" s="207" t="s">
        <v>1</v>
      </c>
      <c r="B4" s="207"/>
      <c r="C4" s="207"/>
      <c r="D4" s="207"/>
      <c r="E4" s="207"/>
      <c r="F4" s="207"/>
      <c r="G4" s="207"/>
      <c r="H4" s="207"/>
      <c r="I4" s="2"/>
      <c r="J4" s="2"/>
      <c r="K4" s="2"/>
    </row>
    <row r="5" spans="1:11" ht="18.75" thickBot="1" x14ac:dyDescent="0.3">
      <c r="A5" s="207" t="s">
        <v>485</v>
      </c>
      <c r="B5" s="207"/>
      <c r="C5" s="371">
        <f>G196</f>
        <v>25273700</v>
      </c>
      <c r="D5" s="340">
        <f>H196</f>
        <v>42848.399565983986</v>
      </c>
      <c r="E5" s="207"/>
      <c r="F5" s="207"/>
      <c r="G5" s="207"/>
      <c r="H5" s="207"/>
      <c r="I5" s="2"/>
      <c r="J5" s="2"/>
      <c r="K5" s="2"/>
    </row>
    <row r="6" spans="1:11" ht="16.5" thickBot="1" x14ac:dyDescent="0.3">
      <c r="A6" s="207" t="s">
        <v>1333</v>
      </c>
      <c r="B6" s="207"/>
      <c r="C6" s="207"/>
      <c r="D6" s="207"/>
      <c r="E6" s="207"/>
      <c r="F6" s="207"/>
      <c r="G6" s="207"/>
      <c r="H6" s="207"/>
      <c r="I6" s="2"/>
      <c r="J6" s="2"/>
      <c r="K6" s="2"/>
    </row>
    <row r="7" spans="1:11" ht="17.25" customHeight="1" thickBot="1" x14ac:dyDescent="0.3">
      <c r="A7" s="773" t="s">
        <v>3</v>
      </c>
      <c r="B7" s="774"/>
      <c r="C7" s="774"/>
      <c r="D7" s="774"/>
      <c r="E7" s="774"/>
      <c r="F7" s="774"/>
      <c r="G7" s="570"/>
      <c r="H7" s="571"/>
      <c r="I7" s="535" t="s">
        <v>4</v>
      </c>
      <c r="J7" s="534"/>
      <c r="K7" s="535"/>
    </row>
    <row r="8" spans="1:11" ht="16.5" thickBot="1" x14ac:dyDescent="0.3">
      <c r="A8" s="211" t="s">
        <v>1540</v>
      </c>
      <c r="B8" s="212" t="s">
        <v>1533</v>
      </c>
      <c r="C8" s="212" t="s">
        <v>8</v>
      </c>
      <c r="D8" s="213" t="s">
        <v>9</v>
      </c>
      <c r="E8" s="212" t="s">
        <v>10</v>
      </c>
      <c r="F8" s="213" t="s">
        <v>11</v>
      </c>
      <c r="G8" s="214" t="s">
        <v>12</v>
      </c>
      <c r="H8" s="579" t="s">
        <v>1532</v>
      </c>
      <c r="I8" s="580" t="s">
        <v>1533</v>
      </c>
      <c r="J8" s="543" t="s">
        <v>7</v>
      </c>
      <c r="K8" s="540" t="s">
        <v>13</v>
      </c>
    </row>
    <row r="9" spans="1:11" ht="54.75" thickBot="1" x14ac:dyDescent="0.3">
      <c r="A9" s="14"/>
      <c r="B9" s="206" t="s">
        <v>428</v>
      </c>
      <c r="C9" s="589"/>
      <c r="D9" s="589"/>
      <c r="E9" s="589"/>
      <c r="F9" s="589"/>
      <c r="G9" s="538"/>
      <c r="H9" s="539"/>
      <c r="I9" s="695" t="s">
        <v>1613</v>
      </c>
      <c r="J9" s="696" t="s">
        <v>1624</v>
      </c>
      <c r="K9" s="10"/>
    </row>
    <row r="10" spans="1:11" x14ac:dyDescent="0.25">
      <c r="A10" s="217"/>
      <c r="B10" s="218"/>
      <c r="C10" s="218"/>
      <c r="D10" s="219"/>
      <c r="E10" s="218"/>
      <c r="F10" s="219"/>
      <c r="G10" s="220"/>
      <c r="H10" s="220"/>
      <c r="I10" s="10"/>
      <c r="J10" s="10"/>
      <c r="K10" s="10"/>
    </row>
    <row r="11" spans="1:11" x14ac:dyDescent="0.25">
      <c r="A11" s="186">
        <v>1</v>
      </c>
      <c r="B11" s="187" t="s">
        <v>631</v>
      </c>
      <c r="C11" s="221" t="s">
        <v>28</v>
      </c>
      <c r="D11" s="222">
        <v>6</v>
      </c>
      <c r="E11" s="221">
        <v>10</v>
      </c>
      <c r="F11" s="223">
        <v>7500</v>
      </c>
      <c r="G11" s="673">
        <f t="shared" ref="G11:G16" si="0">D11*E11*F11</f>
        <v>450000</v>
      </c>
      <c r="H11" s="435">
        <f>G11/589.84</f>
        <v>762.91875762918755</v>
      </c>
      <c r="I11" s="689">
        <f>G11*0.03</f>
        <v>13500</v>
      </c>
      <c r="J11" s="642">
        <f>1600*D11</f>
        <v>9600</v>
      </c>
      <c r="K11" s="642">
        <f t="shared" ref="K11:K16" si="1">G11/D11</f>
        <v>75000</v>
      </c>
    </row>
    <row r="12" spans="1:11" x14ac:dyDescent="0.25">
      <c r="A12" s="188">
        <v>2</v>
      </c>
      <c r="B12" s="189" t="s">
        <v>632</v>
      </c>
      <c r="C12" s="225" t="s">
        <v>28</v>
      </c>
      <c r="D12" s="226">
        <v>3</v>
      </c>
      <c r="E12" s="221">
        <v>10</v>
      </c>
      <c r="F12" s="227">
        <v>3000</v>
      </c>
      <c r="G12" s="227">
        <f t="shared" si="0"/>
        <v>90000</v>
      </c>
      <c r="H12" s="268">
        <f>G12/589.84</f>
        <v>152.5837515258375</v>
      </c>
      <c r="I12" s="642">
        <f t="shared" ref="I12:I16" si="2">G12*0.03</f>
        <v>2700</v>
      </c>
      <c r="J12" s="642">
        <f>1050*D12</f>
        <v>3150</v>
      </c>
      <c r="K12" s="642">
        <f t="shared" si="1"/>
        <v>30000</v>
      </c>
    </row>
    <row r="13" spans="1:11" ht="28.5" x14ac:dyDescent="0.25">
      <c r="A13" s="188">
        <v>3</v>
      </c>
      <c r="B13" s="189" t="s">
        <v>633</v>
      </c>
      <c r="C13" s="225" t="s">
        <v>28</v>
      </c>
      <c r="D13" s="226">
        <v>1</v>
      </c>
      <c r="E13" s="221">
        <v>10</v>
      </c>
      <c r="F13" s="227">
        <v>7500</v>
      </c>
      <c r="G13" s="227">
        <f t="shared" si="0"/>
        <v>75000</v>
      </c>
      <c r="H13" s="268">
        <f t="shared" ref="H13:H93" si="3">G13/589.84</f>
        <v>127.15312627153125</v>
      </c>
      <c r="I13" s="642">
        <f t="shared" si="2"/>
        <v>2250</v>
      </c>
      <c r="J13" s="642">
        <f>1600*D13</f>
        <v>1600</v>
      </c>
      <c r="K13" s="642">
        <f t="shared" si="1"/>
        <v>75000</v>
      </c>
    </row>
    <row r="14" spans="1:11" x14ac:dyDescent="0.25">
      <c r="A14" s="188">
        <v>4</v>
      </c>
      <c r="B14" s="189" t="s">
        <v>1365</v>
      </c>
      <c r="C14" s="225" t="s">
        <v>28</v>
      </c>
      <c r="D14" s="226">
        <v>24</v>
      </c>
      <c r="E14" s="221">
        <v>7</v>
      </c>
      <c r="F14" s="227">
        <v>3000</v>
      </c>
      <c r="G14" s="227">
        <f t="shared" si="0"/>
        <v>504000</v>
      </c>
      <c r="H14" s="268">
        <f t="shared" ref="H14" si="4">G14/589.84</f>
        <v>854.46900854469004</v>
      </c>
      <c r="I14" s="642">
        <f t="shared" si="2"/>
        <v>15120</v>
      </c>
      <c r="J14" s="642">
        <f>550*D14</f>
        <v>13200</v>
      </c>
      <c r="K14" s="642">
        <f t="shared" si="1"/>
        <v>21000</v>
      </c>
    </row>
    <row r="15" spans="1:11" x14ac:dyDescent="0.25">
      <c r="A15" s="188">
        <v>5</v>
      </c>
      <c r="B15" s="189" t="s">
        <v>1338</v>
      </c>
      <c r="C15" s="225" t="s">
        <v>28</v>
      </c>
      <c r="D15" s="226">
        <v>1</v>
      </c>
      <c r="E15" s="221">
        <v>10</v>
      </c>
      <c r="F15" s="227">
        <v>8000</v>
      </c>
      <c r="G15" s="227">
        <f t="shared" si="0"/>
        <v>80000</v>
      </c>
      <c r="H15" s="268">
        <f t="shared" si="3"/>
        <v>135.6300013563</v>
      </c>
      <c r="I15" s="642">
        <f t="shared" si="2"/>
        <v>2400</v>
      </c>
      <c r="J15" s="642">
        <f>1600*D15</f>
        <v>1600</v>
      </c>
      <c r="K15" s="642">
        <f t="shared" si="1"/>
        <v>80000</v>
      </c>
    </row>
    <row r="16" spans="1:11" ht="16.5" thickBot="1" x14ac:dyDescent="0.3">
      <c r="A16" s="188">
        <v>6</v>
      </c>
      <c r="B16" s="189" t="s">
        <v>634</v>
      </c>
      <c r="C16" s="225" t="s">
        <v>28</v>
      </c>
      <c r="D16" s="226">
        <v>1</v>
      </c>
      <c r="E16" s="221">
        <v>10</v>
      </c>
      <c r="F16" s="227">
        <v>8000</v>
      </c>
      <c r="G16" s="227">
        <f t="shared" si="0"/>
        <v>80000</v>
      </c>
      <c r="H16" s="268">
        <f t="shared" si="3"/>
        <v>135.6300013563</v>
      </c>
      <c r="I16" s="642">
        <f t="shared" si="2"/>
        <v>2400</v>
      </c>
      <c r="J16" s="642">
        <f>1600*D16</f>
        <v>1600</v>
      </c>
      <c r="K16" s="642">
        <f t="shared" si="1"/>
        <v>80000</v>
      </c>
    </row>
    <row r="17" spans="1:11" ht="18.75" thickBot="1" x14ac:dyDescent="0.3">
      <c r="A17" s="341"/>
      <c r="B17" s="342" t="s">
        <v>1423</v>
      </c>
      <c r="C17" s="343"/>
      <c r="D17" s="343"/>
      <c r="E17" s="343"/>
      <c r="F17" s="344"/>
      <c r="G17" s="344">
        <f>SUM(G11:G16)</f>
        <v>1279000</v>
      </c>
      <c r="H17" s="345">
        <f>SUM(H11:H16)</f>
        <v>2168.3846466838463</v>
      </c>
      <c r="I17" s="263">
        <f>SUM(I11:I16)</f>
        <v>38370</v>
      </c>
      <c r="J17" s="263">
        <f>SUM(J11:J16)</f>
        <v>30750</v>
      </c>
      <c r="K17" s="12"/>
    </row>
    <row r="18" spans="1:11" ht="16.5" thickBot="1" x14ac:dyDescent="0.3">
      <c r="A18" s="188">
        <v>1</v>
      </c>
      <c r="B18" s="189" t="s">
        <v>635</v>
      </c>
      <c r="C18" s="225" t="s">
        <v>28</v>
      </c>
      <c r="D18" s="226">
        <v>12</v>
      </c>
      <c r="E18" s="221">
        <v>10</v>
      </c>
      <c r="F18" s="227">
        <v>7500</v>
      </c>
      <c r="G18" s="227">
        <f t="shared" ref="G18:G23" si="5">D18*E18*F18</f>
        <v>900000</v>
      </c>
      <c r="H18" s="347">
        <f t="shared" si="3"/>
        <v>1525.8375152583751</v>
      </c>
      <c r="I18" s="689">
        <f t="shared" ref="I18:I23" si="6">G18*0.03</f>
        <v>27000</v>
      </c>
      <c r="J18" s="642">
        <f>1600*D18</f>
        <v>19200</v>
      </c>
      <c r="K18" s="642">
        <f t="shared" ref="K18:K23" si="7">G18/D18</f>
        <v>75000</v>
      </c>
    </row>
    <row r="19" spans="1:11" x14ac:dyDescent="0.25">
      <c r="A19" s="188">
        <v>2</v>
      </c>
      <c r="B19" s="189" t="s">
        <v>636</v>
      </c>
      <c r="C19" s="225" t="s">
        <v>28</v>
      </c>
      <c r="D19" s="226">
        <v>6</v>
      </c>
      <c r="E19" s="221">
        <v>10</v>
      </c>
      <c r="F19" s="227">
        <v>3000</v>
      </c>
      <c r="G19" s="227">
        <f t="shared" si="5"/>
        <v>180000</v>
      </c>
      <c r="H19" s="268">
        <f t="shared" si="3"/>
        <v>305.167503051675</v>
      </c>
      <c r="I19" s="642">
        <f t="shared" si="6"/>
        <v>5400</v>
      </c>
      <c r="J19" s="642">
        <f>1050*D19</f>
        <v>6300</v>
      </c>
      <c r="K19" s="642">
        <f t="shared" si="7"/>
        <v>30000</v>
      </c>
    </row>
    <row r="20" spans="1:11" ht="17.25" customHeight="1" x14ac:dyDescent="0.25">
      <c r="A20" s="188">
        <v>3</v>
      </c>
      <c r="B20" s="189" t="s">
        <v>637</v>
      </c>
      <c r="C20" s="225" t="s">
        <v>28</v>
      </c>
      <c r="D20" s="226">
        <v>1</v>
      </c>
      <c r="E20" s="221">
        <v>10</v>
      </c>
      <c r="F20" s="227">
        <v>7500</v>
      </c>
      <c r="G20" s="227">
        <f t="shared" si="5"/>
        <v>75000</v>
      </c>
      <c r="H20" s="268">
        <f t="shared" si="3"/>
        <v>127.15312627153125</v>
      </c>
      <c r="I20" s="642">
        <f t="shared" si="6"/>
        <v>2250</v>
      </c>
      <c r="J20" s="642">
        <f>1600*D20</f>
        <v>1600</v>
      </c>
      <c r="K20" s="642">
        <f t="shared" si="7"/>
        <v>75000</v>
      </c>
    </row>
    <row r="21" spans="1:11" x14ac:dyDescent="0.25">
      <c r="A21" s="188">
        <v>4</v>
      </c>
      <c r="B21" s="189" t="s">
        <v>1365</v>
      </c>
      <c r="C21" s="225" t="s">
        <v>28</v>
      </c>
      <c r="D21" s="226">
        <v>33</v>
      </c>
      <c r="E21" s="221">
        <v>7</v>
      </c>
      <c r="F21" s="227">
        <v>3000</v>
      </c>
      <c r="G21" s="227">
        <f t="shared" si="5"/>
        <v>693000</v>
      </c>
      <c r="H21" s="268">
        <f t="shared" si="3"/>
        <v>1174.8948867489487</v>
      </c>
      <c r="I21" s="642">
        <f t="shared" si="6"/>
        <v>20790</v>
      </c>
      <c r="J21" s="642">
        <f>550*D21</f>
        <v>18150</v>
      </c>
      <c r="K21" s="642">
        <f t="shared" si="7"/>
        <v>21000</v>
      </c>
    </row>
    <row r="22" spans="1:11" x14ac:dyDescent="0.25">
      <c r="A22" s="188">
        <v>5</v>
      </c>
      <c r="B22" s="189" t="s">
        <v>1338</v>
      </c>
      <c r="C22" s="225" t="s">
        <v>28</v>
      </c>
      <c r="D22" s="226">
        <v>1</v>
      </c>
      <c r="E22" s="221">
        <v>10</v>
      </c>
      <c r="F22" s="227">
        <v>8000</v>
      </c>
      <c r="G22" s="227">
        <f t="shared" si="5"/>
        <v>80000</v>
      </c>
      <c r="H22" s="268">
        <f t="shared" ref="H22" si="8">G22/589.84</f>
        <v>135.6300013563</v>
      </c>
      <c r="I22" s="642">
        <f t="shared" si="6"/>
        <v>2400</v>
      </c>
      <c r="J22" s="642">
        <f>1600*D22</f>
        <v>1600</v>
      </c>
      <c r="K22" s="642">
        <f t="shared" si="7"/>
        <v>80000</v>
      </c>
    </row>
    <row r="23" spans="1:11" ht="16.5" thickBot="1" x14ac:dyDescent="0.3">
      <c r="A23" s="188">
        <v>6</v>
      </c>
      <c r="B23" s="189" t="s">
        <v>638</v>
      </c>
      <c r="C23" s="225" t="s">
        <v>28</v>
      </c>
      <c r="D23" s="226">
        <v>2</v>
      </c>
      <c r="E23" s="221">
        <v>10</v>
      </c>
      <c r="F23" s="227">
        <v>8000</v>
      </c>
      <c r="G23" s="227">
        <f t="shared" si="5"/>
        <v>160000</v>
      </c>
      <c r="H23" s="268">
        <f t="shared" si="3"/>
        <v>271.2600027126</v>
      </c>
      <c r="I23" s="642">
        <f t="shared" si="6"/>
        <v>4800</v>
      </c>
      <c r="J23" s="642">
        <f>1600*D23</f>
        <v>3200</v>
      </c>
      <c r="K23" s="642">
        <f t="shared" si="7"/>
        <v>80000</v>
      </c>
    </row>
    <row r="24" spans="1:11" ht="18.75" thickBot="1" x14ac:dyDescent="0.3">
      <c r="A24" s="341"/>
      <c r="B24" s="342" t="s">
        <v>1423</v>
      </c>
      <c r="C24" s="343"/>
      <c r="D24" s="343"/>
      <c r="E24" s="343"/>
      <c r="F24" s="344"/>
      <c r="G24" s="344">
        <f>SUM(G18:G23)</f>
        <v>2088000</v>
      </c>
      <c r="H24" s="345">
        <f>SUM(H18:H23)</f>
        <v>3539.9430353994298</v>
      </c>
      <c r="I24" s="263">
        <f>SUM(I18:I23)</f>
        <v>62640</v>
      </c>
      <c r="J24" s="263">
        <f>SUM(J18:J23)</f>
        <v>50050</v>
      </c>
      <c r="K24" s="12"/>
    </row>
    <row r="25" spans="1:11" ht="16.5" thickBot="1" x14ac:dyDescent="0.3">
      <c r="A25" s="188">
        <v>1</v>
      </c>
      <c r="B25" s="189" t="s">
        <v>639</v>
      </c>
      <c r="C25" s="225" t="s">
        <v>28</v>
      </c>
      <c r="D25" s="226">
        <v>4</v>
      </c>
      <c r="E25" s="221">
        <v>10</v>
      </c>
      <c r="F25" s="227">
        <v>7500</v>
      </c>
      <c r="G25" s="227">
        <f t="shared" ref="G25:G30" si="9">D25*E25*F25</f>
        <v>300000</v>
      </c>
      <c r="H25" s="347">
        <f t="shared" si="3"/>
        <v>508.612505086125</v>
      </c>
      <c r="I25" s="642">
        <f t="shared" ref="I25:I30" si="10">G25*0.03</f>
        <v>9000</v>
      </c>
      <c r="J25" s="642">
        <f>1600*D25</f>
        <v>6400</v>
      </c>
      <c r="K25" s="642">
        <f t="shared" ref="K25:K30" si="11">G25/D25</f>
        <v>75000</v>
      </c>
    </row>
    <row r="26" spans="1:11" x14ac:dyDescent="0.25">
      <c r="A26" s="188">
        <v>2</v>
      </c>
      <c r="B26" s="189" t="s">
        <v>640</v>
      </c>
      <c r="C26" s="225" t="s">
        <v>28</v>
      </c>
      <c r="D26" s="226">
        <v>2</v>
      </c>
      <c r="E26" s="221">
        <v>10</v>
      </c>
      <c r="F26" s="227">
        <v>3000</v>
      </c>
      <c r="G26" s="227">
        <f t="shared" si="9"/>
        <v>60000</v>
      </c>
      <c r="H26" s="268">
        <f t="shared" si="3"/>
        <v>101.722501017225</v>
      </c>
      <c r="I26" s="642">
        <f t="shared" si="10"/>
        <v>1800</v>
      </c>
      <c r="J26" s="642">
        <f>1050*D26</f>
        <v>2100</v>
      </c>
      <c r="K26" s="642">
        <f t="shared" si="11"/>
        <v>30000</v>
      </c>
    </row>
    <row r="27" spans="1:11" x14ac:dyDescent="0.25">
      <c r="A27" s="188">
        <v>3</v>
      </c>
      <c r="B27" s="189" t="s">
        <v>641</v>
      </c>
      <c r="C27" s="225" t="s">
        <v>28</v>
      </c>
      <c r="D27" s="226">
        <v>1</v>
      </c>
      <c r="E27" s="221">
        <v>10</v>
      </c>
      <c r="F27" s="227">
        <v>7500</v>
      </c>
      <c r="G27" s="227">
        <f t="shared" si="9"/>
        <v>75000</v>
      </c>
      <c r="H27" s="268">
        <f t="shared" si="3"/>
        <v>127.15312627153125</v>
      </c>
      <c r="I27" s="642">
        <f t="shared" si="10"/>
        <v>2250</v>
      </c>
      <c r="J27" s="642">
        <f>1600*D27</f>
        <v>1600</v>
      </c>
      <c r="K27" s="642">
        <f t="shared" si="11"/>
        <v>75000</v>
      </c>
    </row>
    <row r="28" spans="1:11" x14ac:dyDescent="0.25">
      <c r="A28" s="188">
        <v>4</v>
      </c>
      <c r="B28" s="189" t="s">
        <v>1365</v>
      </c>
      <c r="C28" s="225" t="s">
        <v>28</v>
      </c>
      <c r="D28" s="226">
        <v>17</v>
      </c>
      <c r="E28" s="221">
        <v>7</v>
      </c>
      <c r="F28" s="227">
        <v>3000</v>
      </c>
      <c r="G28" s="227">
        <f t="shared" si="9"/>
        <v>357000</v>
      </c>
      <c r="H28" s="268">
        <f t="shared" si="3"/>
        <v>605.24888105248874</v>
      </c>
      <c r="I28" s="642">
        <f t="shared" si="10"/>
        <v>10710</v>
      </c>
      <c r="J28" s="642">
        <f>550*D28</f>
        <v>9350</v>
      </c>
      <c r="K28" s="642">
        <f t="shared" si="11"/>
        <v>21000</v>
      </c>
    </row>
    <row r="29" spans="1:11" x14ac:dyDescent="0.25">
      <c r="A29" s="188">
        <v>5</v>
      </c>
      <c r="B29" s="189" t="s">
        <v>1338</v>
      </c>
      <c r="C29" s="225" t="s">
        <v>28</v>
      </c>
      <c r="D29" s="226">
        <v>1</v>
      </c>
      <c r="E29" s="221">
        <v>10</v>
      </c>
      <c r="F29" s="227">
        <v>8000</v>
      </c>
      <c r="G29" s="227">
        <f t="shared" si="9"/>
        <v>80000</v>
      </c>
      <c r="H29" s="268">
        <f t="shared" ref="H29" si="12">G29/589.84</f>
        <v>135.6300013563</v>
      </c>
      <c r="I29" s="642">
        <f t="shared" si="10"/>
        <v>2400</v>
      </c>
      <c r="J29" s="642">
        <f>1600*D29</f>
        <v>1600</v>
      </c>
      <c r="K29" s="642">
        <f t="shared" si="11"/>
        <v>80000</v>
      </c>
    </row>
    <row r="30" spans="1:11" ht="16.5" thickBot="1" x14ac:dyDescent="0.3">
      <c r="A30" s="188">
        <v>6</v>
      </c>
      <c r="B30" s="189" t="s">
        <v>642</v>
      </c>
      <c r="C30" s="225" t="s">
        <v>28</v>
      </c>
      <c r="D30" s="226">
        <v>1</v>
      </c>
      <c r="E30" s="221">
        <v>10</v>
      </c>
      <c r="F30" s="227">
        <v>8000</v>
      </c>
      <c r="G30" s="227">
        <f t="shared" si="9"/>
        <v>80000</v>
      </c>
      <c r="H30" s="268">
        <f t="shared" si="3"/>
        <v>135.6300013563</v>
      </c>
      <c r="I30" s="642">
        <f t="shared" si="10"/>
        <v>2400</v>
      </c>
      <c r="J30" s="642">
        <f>1600*D30</f>
        <v>1600</v>
      </c>
      <c r="K30" s="642">
        <f t="shared" si="11"/>
        <v>80000</v>
      </c>
    </row>
    <row r="31" spans="1:11" ht="18.75" thickBot="1" x14ac:dyDescent="0.3">
      <c r="A31" s="341"/>
      <c r="B31" s="342" t="s">
        <v>1423</v>
      </c>
      <c r="C31" s="343"/>
      <c r="D31" s="343"/>
      <c r="E31" s="343"/>
      <c r="F31" s="344"/>
      <c r="G31" s="344">
        <f>SUM(G25:G30)</f>
        <v>952000</v>
      </c>
      <c r="H31" s="345">
        <f>SUM(H25:H30)</f>
        <v>1613.9970161399701</v>
      </c>
      <c r="I31" s="263">
        <f>SUM(I25:I30)</f>
        <v>28560</v>
      </c>
      <c r="J31" s="263">
        <f>SUM(J25:J30)</f>
        <v>22650</v>
      </c>
      <c r="K31" s="12"/>
    </row>
    <row r="32" spans="1:11" ht="16.5" thickBot="1" x14ac:dyDescent="0.3">
      <c r="A32" s="188">
        <v>1</v>
      </c>
      <c r="B32" s="189" t="s">
        <v>643</v>
      </c>
      <c r="C32" s="225" t="s">
        <v>28</v>
      </c>
      <c r="D32" s="226">
        <v>4</v>
      </c>
      <c r="E32" s="221">
        <v>10</v>
      </c>
      <c r="F32" s="227">
        <v>7500</v>
      </c>
      <c r="G32" s="227">
        <f t="shared" ref="G32:G37" si="13">D32*E32*F32</f>
        <v>300000</v>
      </c>
      <c r="H32" s="347">
        <f t="shared" si="3"/>
        <v>508.612505086125</v>
      </c>
      <c r="I32" s="642">
        <f t="shared" ref="I32:I37" si="14">G32*0.03</f>
        <v>9000</v>
      </c>
      <c r="J32" s="642">
        <f>1600*D32</f>
        <v>6400</v>
      </c>
      <c r="K32" s="642">
        <f t="shared" ref="K32:K37" si="15">G32/D32</f>
        <v>75000</v>
      </c>
    </row>
    <row r="33" spans="1:11" x14ac:dyDescent="0.25">
      <c r="A33" s="188">
        <v>2</v>
      </c>
      <c r="B33" s="189" t="s">
        <v>644</v>
      </c>
      <c r="C33" s="225" t="s">
        <v>28</v>
      </c>
      <c r="D33" s="226">
        <v>2</v>
      </c>
      <c r="E33" s="221">
        <v>10</v>
      </c>
      <c r="F33" s="227">
        <v>3000</v>
      </c>
      <c r="G33" s="227">
        <f t="shared" si="13"/>
        <v>60000</v>
      </c>
      <c r="H33" s="268">
        <f t="shared" si="3"/>
        <v>101.722501017225</v>
      </c>
      <c r="I33" s="642">
        <f t="shared" si="14"/>
        <v>1800</v>
      </c>
      <c r="J33" s="642">
        <f>1050*D33</f>
        <v>2100</v>
      </c>
      <c r="K33" s="642">
        <f t="shared" si="15"/>
        <v>30000</v>
      </c>
    </row>
    <row r="34" spans="1:11" x14ac:dyDescent="0.25">
      <c r="A34" s="188">
        <v>3</v>
      </c>
      <c r="B34" s="189" t="s">
        <v>645</v>
      </c>
      <c r="C34" s="225" t="s">
        <v>28</v>
      </c>
      <c r="D34" s="226">
        <v>1</v>
      </c>
      <c r="E34" s="221">
        <v>10</v>
      </c>
      <c r="F34" s="227">
        <v>7500</v>
      </c>
      <c r="G34" s="227">
        <f t="shared" si="13"/>
        <v>75000</v>
      </c>
      <c r="H34" s="268">
        <f>G34/589.84</f>
        <v>127.15312627153125</v>
      </c>
      <c r="I34" s="642">
        <f t="shared" si="14"/>
        <v>2250</v>
      </c>
      <c r="J34" s="642">
        <f>1600*D34</f>
        <v>1600</v>
      </c>
      <c r="K34" s="642">
        <f t="shared" si="15"/>
        <v>75000</v>
      </c>
    </row>
    <row r="35" spans="1:11" x14ac:dyDescent="0.25">
      <c r="A35" s="188">
        <v>4</v>
      </c>
      <c r="B35" s="189" t="s">
        <v>1365</v>
      </c>
      <c r="C35" s="225" t="s">
        <v>28</v>
      </c>
      <c r="D35" s="226">
        <v>22</v>
      </c>
      <c r="E35" s="221">
        <v>7</v>
      </c>
      <c r="F35" s="227">
        <v>3000</v>
      </c>
      <c r="G35" s="227">
        <f t="shared" si="13"/>
        <v>462000</v>
      </c>
      <c r="H35" s="268">
        <f>G35/589.84</f>
        <v>783.26325783263258</v>
      </c>
      <c r="I35" s="642">
        <f t="shared" si="14"/>
        <v>13860</v>
      </c>
      <c r="J35" s="642">
        <f>550*D35</f>
        <v>12100</v>
      </c>
      <c r="K35" s="642">
        <f t="shared" si="15"/>
        <v>21000</v>
      </c>
    </row>
    <row r="36" spans="1:11" x14ac:dyDescent="0.25">
      <c r="A36" s="188">
        <v>5</v>
      </c>
      <c r="B36" s="189" t="s">
        <v>1338</v>
      </c>
      <c r="C36" s="225" t="s">
        <v>28</v>
      </c>
      <c r="D36" s="226">
        <v>1</v>
      </c>
      <c r="E36" s="221">
        <v>10</v>
      </c>
      <c r="F36" s="227">
        <v>8000</v>
      </c>
      <c r="G36" s="227">
        <f t="shared" si="13"/>
        <v>80000</v>
      </c>
      <c r="H36" s="268">
        <f t="shared" ref="H36" si="16">G36/589.84</f>
        <v>135.6300013563</v>
      </c>
      <c r="I36" s="642">
        <f t="shared" si="14"/>
        <v>2400</v>
      </c>
      <c r="J36" s="642">
        <f>1600*D36</f>
        <v>1600</v>
      </c>
      <c r="K36" s="642">
        <f t="shared" si="15"/>
        <v>80000</v>
      </c>
    </row>
    <row r="37" spans="1:11" ht="16.5" thickBot="1" x14ac:dyDescent="0.3">
      <c r="A37" s="188">
        <v>6</v>
      </c>
      <c r="B37" s="189" t="s">
        <v>646</v>
      </c>
      <c r="C37" s="225" t="s">
        <v>28</v>
      </c>
      <c r="D37" s="226">
        <v>1</v>
      </c>
      <c r="E37" s="221">
        <v>10</v>
      </c>
      <c r="F37" s="227">
        <v>8000</v>
      </c>
      <c r="G37" s="227">
        <f t="shared" si="13"/>
        <v>80000</v>
      </c>
      <c r="H37" s="268">
        <f t="shared" si="3"/>
        <v>135.6300013563</v>
      </c>
      <c r="I37" s="642">
        <f t="shared" si="14"/>
        <v>2400</v>
      </c>
      <c r="J37" s="642">
        <f>1600*D37</f>
        <v>1600</v>
      </c>
      <c r="K37" s="642">
        <f t="shared" si="15"/>
        <v>80000</v>
      </c>
    </row>
    <row r="38" spans="1:11" ht="18.75" thickBot="1" x14ac:dyDescent="0.3">
      <c r="A38" s="341"/>
      <c r="B38" s="342" t="s">
        <v>1423</v>
      </c>
      <c r="C38" s="343"/>
      <c r="D38" s="343"/>
      <c r="E38" s="343"/>
      <c r="F38" s="344"/>
      <c r="G38" s="344">
        <f>SUM(G32:G37)</f>
        <v>1057000</v>
      </c>
      <c r="H38" s="345">
        <f>SUM(H32:H37)</f>
        <v>1792.0113929201138</v>
      </c>
      <c r="I38" s="263">
        <f t="shared" ref="I38" si="17">SUM(I32:I37)</f>
        <v>31710</v>
      </c>
      <c r="J38" s="263">
        <f>SUM(J32:J37)</f>
        <v>25400</v>
      </c>
      <c r="K38" s="12"/>
    </row>
    <row r="39" spans="1:11" ht="16.5" thickBot="1" x14ac:dyDescent="0.3">
      <c r="A39" s="188">
        <v>1</v>
      </c>
      <c r="B39" s="189" t="s">
        <v>647</v>
      </c>
      <c r="C39" s="225" t="s">
        <v>28</v>
      </c>
      <c r="D39" s="225">
        <v>8</v>
      </c>
      <c r="E39" s="221">
        <v>10</v>
      </c>
      <c r="F39" s="227">
        <v>7500</v>
      </c>
      <c r="G39" s="227">
        <f t="shared" ref="G39:G44" si="18">D39*E39*F39</f>
        <v>600000</v>
      </c>
      <c r="H39" s="347">
        <f t="shared" si="3"/>
        <v>1017.22501017225</v>
      </c>
      <c r="I39" s="642">
        <f t="shared" ref="I39:I44" si="19">G39*0.03</f>
        <v>18000</v>
      </c>
      <c r="J39" s="642">
        <f>1600*D39</f>
        <v>12800</v>
      </c>
      <c r="K39" s="642">
        <f t="shared" ref="K39:K44" si="20">G39/D39</f>
        <v>75000</v>
      </c>
    </row>
    <row r="40" spans="1:11" x14ac:dyDescent="0.25">
      <c r="A40" s="188">
        <v>2</v>
      </c>
      <c r="B40" s="189" t="s">
        <v>648</v>
      </c>
      <c r="C40" s="225" t="s">
        <v>28</v>
      </c>
      <c r="D40" s="225">
        <v>4</v>
      </c>
      <c r="E40" s="221">
        <v>10</v>
      </c>
      <c r="F40" s="227">
        <v>3000</v>
      </c>
      <c r="G40" s="227">
        <f t="shared" si="18"/>
        <v>120000</v>
      </c>
      <c r="H40" s="268">
        <f t="shared" si="3"/>
        <v>203.44500203445</v>
      </c>
      <c r="I40" s="642">
        <f t="shared" si="19"/>
        <v>3600</v>
      </c>
      <c r="J40" s="642">
        <f>1050*D40</f>
        <v>4200</v>
      </c>
      <c r="K40" s="642">
        <f t="shared" si="20"/>
        <v>30000</v>
      </c>
    </row>
    <row r="41" spans="1:11" ht="18.75" customHeight="1" x14ac:dyDescent="0.25">
      <c r="A41" s="188">
        <v>3</v>
      </c>
      <c r="B41" s="189" t="s">
        <v>649</v>
      </c>
      <c r="C41" s="225" t="s">
        <v>28</v>
      </c>
      <c r="D41" s="226">
        <v>1</v>
      </c>
      <c r="E41" s="221">
        <v>10</v>
      </c>
      <c r="F41" s="227">
        <v>7500</v>
      </c>
      <c r="G41" s="227">
        <f t="shared" si="18"/>
        <v>75000</v>
      </c>
      <c r="H41" s="268">
        <f>G41/589.84</f>
        <v>127.15312627153125</v>
      </c>
      <c r="I41" s="642">
        <f t="shared" si="19"/>
        <v>2250</v>
      </c>
      <c r="J41" s="642">
        <f>1600*D41</f>
        <v>1600</v>
      </c>
      <c r="K41" s="642">
        <f t="shared" si="20"/>
        <v>75000</v>
      </c>
    </row>
    <row r="42" spans="1:11" x14ac:dyDescent="0.25">
      <c r="A42" s="188">
        <v>4</v>
      </c>
      <c r="B42" s="189" t="s">
        <v>1365</v>
      </c>
      <c r="C42" s="225" t="s">
        <v>28</v>
      </c>
      <c r="D42" s="226">
        <v>32</v>
      </c>
      <c r="E42" s="221">
        <v>7</v>
      </c>
      <c r="F42" s="227">
        <v>3000</v>
      </c>
      <c r="G42" s="227">
        <f t="shared" si="18"/>
        <v>672000</v>
      </c>
      <c r="H42" s="268">
        <f>G42/589.84</f>
        <v>1139.2920113929201</v>
      </c>
      <c r="I42" s="642">
        <f t="shared" si="19"/>
        <v>20160</v>
      </c>
      <c r="J42" s="642">
        <f>550*D42</f>
        <v>17600</v>
      </c>
      <c r="K42" s="642">
        <f t="shared" si="20"/>
        <v>21000</v>
      </c>
    </row>
    <row r="43" spans="1:11" x14ac:dyDescent="0.25">
      <c r="A43" s="188">
        <v>5</v>
      </c>
      <c r="B43" s="189" t="s">
        <v>1338</v>
      </c>
      <c r="C43" s="225" t="s">
        <v>28</v>
      </c>
      <c r="D43" s="226">
        <v>1</v>
      </c>
      <c r="E43" s="221">
        <v>10</v>
      </c>
      <c r="F43" s="227">
        <v>8000</v>
      </c>
      <c r="G43" s="227">
        <f t="shared" si="18"/>
        <v>80000</v>
      </c>
      <c r="H43" s="268">
        <f t="shared" ref="H43" si="21">G43/589.84</f>
        <v>135.6300013563</v>
      </c>
      <c r="I43" s="642">
        <f t="shared" si="19"/>
        <v>2400</v>
      </c>
      <c r="J43" s="642">
        <f>1600*D43</f>
        <v>1600</v>
      </c>
      <c r="K43" s="642">
        <f t="shared" si="20"/>
        <v>80000</v>
      </c>
    </row>
    <row r="44" spans="1:11" ht="16.5" thickBot="1" x14ac:dyDescent="0.3">
      <c r="A44" s="188">
        <v>6</v>
      </c>
      <c r="B44" s="189" t="s">
        <v>650</v>
      </c>
      <c r="C44" s="225" t="s">
        <v>28</v>
      </c>
      <c r="D44" s="226">
        <v>1</v>
      </c>
      <c r="E44" s="221">
        <v>10</v>
      </c>
      <c r="F44" s="227">
        <v>8000</v>
      </c>
      <c r="G44" s="227">
        <f t="shared" si="18"/>
        <v>80000</v>
      </c>
      <c r="H44" s="268">
        <f t="shared" si="3"/>
        <v>135.6300013563</v>
      </c>
      <c r="I44" s="642">
        <f t="shared" si="19"/>
        <v>2400</v>
      </c>
      <c r="J44" s="642">
        <f>1600*D44</f>
        <v>1600</v>
      </c>
      <c r="K44" s="642">
        <f t="shared" si="20"/>
        <v>80000</v>
      </c>
    </row>
    <row r="45" spans="1:11" ht="18.75" thickBot="1" x14ac:dyDescent="0.3">
      <c r="A45" s="341"/>
      <c r="B45" s="342" t="s">
        <v>1423</v>
      </c>
      <c r="C45" s="343"/>
      <c r="D45" s="343"/>
      <c r="E45" s="343"/>
      <c r="F45" s="344"/>
      <c r="G45" s="344">
        <f>SUM(G39:G44)</f>
        <v>1627000</v>
      </c>
      <c r="H45" s="345">
        <f>SUM(H39:H44)</f>
        <v>2758.3751525837515</v>
      </c>
      <c r="I45" s="263">
        <f>SUM(I39:I44)</f>
        <v>48810</v>
      </c>
      <c r="J45" s="263">
        <f>SUM(J39:J44)</f>
        <v>39400</v>
      </c>
      <c r="K45" s="12"/>
    </row>
    <row r="46" spans="1:11" ht="16.5" thickBot="1" x14ac:dyDescent="0.3">
      <c r="A46" s="188">
        <v>1</v>
      </c>
      <c r="B46" s="189" t="s">
        <v>651</v>
      </c>
      <c r="C46" s="225" t="s">
        <v>28</v>
      </c>
      <c r="D46" s="226">
        <v>6</v>
      </c>
      <c r="E46" s="221">
        <v>10</v>
      </c>
      <c r="F46" s="227">
        <v>7500</v>
      </c>
      <c r="G46" s="227">
        <f t="shared" ref="G46:G51" si="22">D46*E46*F46</f>
        <v>450000</v>
      </c>
      <c r="H46" s="347">
        <f t="shared" si="3"/>
        <v>762.91875762918755</v>
      </c>
      <c r="I46" s="642">
        <f t="shared" ref="I46:I51" si="23">G46*0.03</f>
        <v>13500</v>
      </c>
      <c r="J46" s="642">
        <f>1600*D46</f>
        <v>9600</v>
      </c>
      <c r="K46" s="642">
        <f t="shared" ref="K46:K51" si="24">G46/D46</f>
        <v>75000</v>
      </c>
    </row>
    <row r="47" spans="1:11" ht="17.25" customHeight="1" x14ac:dyDescent="0.25">
      <c r="A47" s="188">
        <v>2</v>
      </c>
      <c r="B47" s="189" t="s">
        <v>652</v>
      </c>
      <c r="C47" s="225" t="s">
        <v>28</v>
      </c>
      <c r="D47" s="226">
        <v>3</v>
      </c>
      <c r="E47" s="221">
        <v>10</v>
      </c>
      <c r="F47" s="227">
        <v>3000</v>
      </c>
      <c r="G47" s="227">
        <f t="shared" si="22"/>
        <v>90000</v>
      </c>
      <c r="H47" s="268">
        <f t="shared" si="3"/>
        <v>152.5837515258375</v>
      </c>
      <c r="I47" s="642">
        <f t="shared" si="23"/>
        <v>2700</v>
      </c>
      <c r="J47" s="642">
        <f>1050*D47</f>
        <v>3150</v>
      </c>
      <c r="K47" s="642">
        <f t="shared" si="24"/>
        <v>30000</v>
      </c>
    </row>
    <row r="48" spans="1:11" ht="19.5" customHeight="1" x14ac:dyDescent="0.25">
      <c r="A48" s="188">
        <v>3</v>
      </c>
      <c r="B48" s="189" t="s">
        <v>653</v>
      </c>
      <c r="C48" s="225" t="s">
        <v>28</v>
      </c>
      <c r="D48" s="226">
        <v>1</v>
      </c>
      <c r="E48" s="221">
        <v>10</v>
      </c>
      <c r="F48" s="227">
        <v>7500</v>
      </c>
      <c r="G48" s="227">
        <f t="shared" si="22"/>
        <v>75000</v>
      </c>
      <c r="H48" s="268">
        <f t="shared" si="3"/>
        <v>127.15312627153125</v>
      </c>
      <c r="I48" s="642">
        <f t="shared" si="23"/>
        <v>2250</v>
      </c>
      <c r="J48" s="642">
        <f>1600*D48</f>
        <v>1600</v>
      </c>
      <c r="K48" s="642">
        <f t="shared" si="24"/>
        <v>75000</v>
      </c>
    </row>
    <row r="49" spans="1:11" x14ac:dyDescent="0.25">
      <c r="A49" s="188">
        <v>4</v>
      </c>
      <c r="B49" s="189" t="s">
        <v>1365</v>
      </c>
      <c r="C49" s="225" t="s">
        <v>28</v>
      </c>
      <c r="D49" s="226">
        <v>27</v>
      </c>
      <c r="E49" s="221">
        <v>7</v>
      </c>
      <c r="F49" s="227">
        <v>3000</v>
      </c>
      <c r="G49" s="227">
        <f t="shared" si="22"/>
        <v>567000</v>
      </c>
      <c r="H49" s="268">
        <f t="shared" si="3"/>
        <v>961.2776346127763</v>
      </c>
      <c r="I49" s="642">
        <f t="shared" si="23"/>
        <v>17010</v>
      </c>
      <c r="J49" s="642">
        <f>550*D49</f>
        <v>14850</v>
      </c>
      <c r="K49" s="642">
        <f t="shared" si="24"/>
        <v>21000</v>
      </c>
    </row>
    <row r="50" spans="1:11" x14ac:dyDescent="0.25">
      <c r="A50" s="188">
        <v>5</v>
      </c>
      <c r="B50" s="189" t="s">
        <v>1338</v>
      </c>
      <c r="C50" s="225" t="s">
        <v>28</v>
      </c>
      <c r="D50" s="226">
        <v>1</v>
      </c>
      <c r="E50" s="221">
        <v>10</v>
      </c>
      <c r="F50" s="227">
        <v>8000</v>
      </c>
      <c r="G50" s="227">
        <f t="shared" si="22"/>
        <v>80000</v>
      </c>
      <c r="H50" s="268">
        <f t="shared" ref="H50" si="25">G50/589.84</f>
        <v>135.6300013563</v>
      </c>
      <c r="I50" s="642">
        <f t="shared" si="23"/>
        <v>2400</v>
      </c>
      <c r="J50" s="642">
        <f>1600*D50</f>
        <v>1600</v>
      </c>
      <c r="K50" s="642">
        <f t="shared" si="24"/>
        <v>80000</v>
      </c>
    </row>
    <row r="51" spans="1:11" ht="16.5" thickBot="1" x14ac:dyDescent="0.3">
      <c r="A51" s="188">
        <v>6</v>
      </c>
      <c r="B51" s="189" t="s">
        <v>654</v>
      </c>
      <c r="C51" s="225" t="s">
        <v>28</v>
      </c>
      <c r="D51" s="226">
        <v>1</v>
      </c>
      <c r="E51" s="221">
        <v>10</v>
      </c>
      <c r="F51" s="227">
        <v>8000</v>
      </c>
      <c r="G51" s="227">
        <f t="shared" si="22"/>
        <v>80000</v>
      </c>
      <c r="H51" s="268">
        <f t="shared" si="3"/>
        <v>135.6300013563</v>
      </c>
      <c r="I51" s="642">
        <f t="shared" si="23"/>
        <v>2400</v>
      </c>
      <c r="J51" s="642">
        <f>1600*D51</f>
        <v>1600</v>
      </c>
      <c r="K51" s="642">
        <f t="shared" si="24"/>
        <v>80000</v>
      </c>
    </row>
    <row r="52" spans="1:11" ht="18.75" thickBot="1" x14ac:dyDescent="0.3">
      <c r="A52" s="341"/>
      <c r="B52" s="342" t="s">
        <v>1423</v>
      </c>
      <c r="C52" s="343"/>
      <c r="D52" s="343"/>
      <c r="E52" s="343"/>
      <c r="F52" s="344"/>
      <c r="G52" s="344">
        <f>SUM(G46:G51)</f>
        <v>1342000</v>
      </c>
      <c r="H52" s="345">
        <f>SUM(H46:H51)</f>
        <v>2275.1932727519325</v>
      </c>
      <c r="I52" s="692">
        <f t="shared" ref="I52" si="26">SUM(I46:I51)</f>
        <v>40260</v>
      </c>
      <c r="J52" s="263">
        <f>SUM(J46:J51)</f>
        <v>32400</v>
      </c>
      <c r="K52" s="12"/>
    </row>
    <row r="53" spans="1:11" ht="16.5" thickBot="1" x14ac:dyDescent="0.3">
      <c r="A53" s="188">
        <v>1</v>
      </c>
      <c r="B53" s="189" t="s">
        <v>655</v>
      </c>
      <c r="C53" s="225" t="s">
        <v>28</v>
      </c>
      <c r="D53" s="226">
        <v>12</v>
      </c>
      <c r="E53" s="221">
        <v>10</v>
      </c>
      <c r="F53" s="227">
        <v>7500</v>
      </c>
      <c r="G53" s="227">
        <f t="shared" ref="G53:G58" si="27">D53*E53*F53</f>
        <v>900000</v>
      </c>
      <c r="H53" s="347">
        <f t="shared" si="3"/>
        <v>1525.8375152583751</v>
      </c>
      <c r="I53" s="642">
        <f t="shared" ref="I53:I57" si="28">G53*0.03</f>
        <v>27000</v>
      </c>
      <c r="J53" s="642">
        <f>1600*D53</f>
        <v>19200</v>
      </c>
      <c r="K53" s="642">
        <f t="shared" ref="K53:K58" si="29">G53/D53</f>
        <v>75000</v>
      </c>
    </row>
    <row r="54" spans="1:11" x14ac:dyDescent="0.25">
      <c r="A54" s="188">
        <v>2</v>
      </c>
      <c r="B54" s="189" t="s">
        <v>656</v>
      </c>
      <c r="C54" s="225" t="s">
        <v>28</v>
      </c>
      <c r="D54" s="226">
        <v>6</v>
      </c>
      <c r="E54" s="221">
        <v>10</v>
      </c>
      <c r="F54" s="227">
        <v>3000</v>
      </c>
      <c r="G54" s="227">
        <f t="shared" si="27"/>
        <v>180000</v>
      </c>
      <c r="H54" s="268">
        <f t="shared" si="3"/>
        <v>305.167503051675</v>
      </c>
      <c r="I54" s="642">
        <f t="shared" si="28"/>
        <v>5400</v>
      </c>
      <c r="J54" s="642">
        <f>1050*D54</f>
        <v>6300</v>
      </c>
      <c r="K54" s="642">
        <f t="shared" si="29"/>
        <v>30000</v>
      </c>
    </row>
    <row r="55" spans="1:11" ht="28.5" x14ac:dyDescent="0.25">
      <c r="A55" s="188">
        <v>3</v>
      </c>
      <c r="B55" s="189" t="s">
        <v>657</v>
      </c>
      <c r="C55" s="225" t="s">
        <v>28</v>
      </c>
      <c r="D55" s="226">
        <v>1</v>
      </c>
      <c r="E55" s="221">
        <v>10</v>
      </c>
      <c r="F55" s="227">
        <v>7500</v>
      </c>
      <c r="G55" s="227">
        <f t="shared" si="27"/>
        <v>75000</v>
      </c>
      <c r="H55" s="268">
        <f t="shared" si="3"/>
        <v>127.15312627153125</v>
      </c>
      <c r="I55" s="642">
        <f t="shared" si="28"/>
        <v>2250</v>
      </c>
      <c r="J55" s="642">
        <f>1600*D55</f>
        <v>1600</v>
      </c>
      <c r="K55" s="642">
        <f t="shared" si="29"/>
        <v>75000</v>
      </c>
    </row>
    <row r="56" spans="1:11" x14ac:dyDescent="0.25">
      <c r="A56" s="188">
        <v>4</v>
      </c>
      <c r="B56" s="189" t="s">
        <v>1365</v>
      </c>
      <c r="C56" s="225" t="s">
        <v>28</v>
      </c>
      <c r="D56" s="226">
        <v>20</v>
      </c>
      <c r="E56" s="221">
        <v>7</v>
      </c>
      <c r="F56" s="227">
        <v>3000</v>
      </c>
      <c r="G56" s="227">
        <f t="shared" si="27"/>
        <v>420000</v>
      </c>
      <c r="H56" s="268">
        <f t="shared" si="3"/>
        <v>712.057507120575</v>
      </c>
      <c r="I56" s="642">
        <f t="shared" si="28"/>
        <v>12600</v>
      </c>
      <c r="J56" s="642">
        <f>550*D56</f>
        <v>11000</v>
      </c>
      <c r="K56" s="642">
        <f t="shared" si="29"/>
        <v>21000</v>
      </c>
    </row>
    <row r="57" spans="1:11" x14ac:dyDescent="0.25">
      <c r="A57" s="188">
        <v>5</v>
      </c>
      <c r="B57" s="189" t="s">
        <v>1338</v>
      </c>
      <c r="C57" s="225" t="s">
        <v>28</v>
      </c>
      <c r="D57" s="226">
        <v>1</v>
      </c>
      <c r="E57" s="221">
        <v>10</v>
      </c>
      <c r="F57" s="227">
        <v>8000</v>
      </c>
      <c r="G57" s="227">
        <f t="shared" si="27"/>
        <v>80000</v>
      </c>
      <c r="H57" s="268">
        <f t="shared" ref="H57" si="30">G57/589.84</f>
        <v>135.6300013563</v>
      </c>
      <c r="I57" s="642">
        <f t="shared" si="28"/>
        <v>2400</v>
      </c>
      <c r="J57" s="642">
        <f>1600*D57</f>
        <v>1600</v>
      </c>
      <c r="K57" s="642">
        <f t="shared" si="29"/>
        <v>80000</v>
      </c>
    </row>
    <row r="58" spans="1:11" ht="16.5" thickBot="1" x14ac:dyDescent="0.3">
      <c r="A58" s="188">
        <v>6</v>
      </c>
      <c r="B58" s="189" t="s">
        <v>658</v>
      </c>
      <c r="C58" s="225" t="s">
        <v>28</v>
      </c>
      <c r="D58" s="226">
        <v>2</v>
      </c>
      <c r="E58" s="221">
        <v>10</v>
      </c>
      <c r="F58" s="227">
        <v>8000</v>
      </c>
      <c r="G58" s="227">
        <f t="shared" si="27"/>
        <v>160000</v>
      </c>
      <c r="H58" s="268">
        <f t="shared" si="3"/>
        <v>271.2600027126</v>
      </c>
      <c r="I58" s="642">
        <f>G58*0.03</f>
        <v>4800</v>
      </c>
      <c r="J58" s="642">
        <f>1600*D58</f>
        <v>3200</v>
      </c>
      <c r="K58" s="642">
        <f t="shared" si="29"/>
        <v>80000</v>
      </c>
    </row>
    <row r="59" spans="1:11" ht="18.75" thickBot="1" x14ac:dyDescent="0.3">
      <c r="A59" s="341"/>
      <c r="B59" s="342" t="s">
        <v>1423</v>
      </c>
      <c r="C59" s="343"/>
      <c r="D59" s="343"/>
      <c r="E59" s="343"/>
      <c r="F59" s="344"/>
      <c r="G59" s="344">
        <f>SUM(G53:G58)</f>
        <v>1815000</v>
      </c>
      <c r="H59" s="345">
        <f>SUM(H53:H58)</f>
        <v>3077.1056557710563</v>
      </c>
      <c r="I59" s="692">
        <f>SUM(I53:I58)</f>
        <v>54450</v>
      </c>
      <c r="J59" s="263">
        <f>SUM(J53:J58)</f>
        <v>42900</v>
      </c>
      <c r="K59" s="12"/>
    </row>
    <row r="60" spans="1:11" ht="16.5" thickBot="1" x14ac:dyDescent="0.3">
      <c r="A60" s="188">
        <v>1</v>
      </c>
      <c r="B60" s="189" t="s">
        <v>660</v>
      </c>
      <c r="C60" s="225" t="s">
        <v>28</v>
      </c>
      <c r="D60" s="226">
        <v>12</v>
      </c>
      <c r="E60" s="221">
        <v>10</v>
      </c>
      <c r="F60" s="227">
        <v>7500</v>
      </c>
      <c r="G60" s="227">
        <f t="shared" ref="G60:G65" si="31">D60*E60*F60</f>
        <v>900000</v>
      </c>
      <c r="H60" s="347">
        <f t="shared" si="3"/>
        <v>1525.8375152583751</v>
      </c>
      <c r="I60" s="642">
        <f t="shared" ref="I60:I65" si="32">G60*0.03</f>
        <v>27000</v>
      </c>
      <c r="J60" s="642">
        <f>1600*D60</f>
        <v>19200</v>
      </c>
      <c r="K60" s="642">
        <f t="shared" ref="K60:K65" si="33">G60/D60</f>
        <v>75000</v>
      </c>
    </row>
    <row r="61" spans="1:11" x14ac:dyDescent="0.25">
      <c r="A61" s="188">
        <v>2</v>
      </c>
      <c r="B61" s="189" t="s">
        <v>659</v>
      </c>
      <c r="C61" s="225" t="s">
        <v>28</v>
      </c>
      <c r="D61" s="226">
        <v>6</v>
      </c>
      <c r="E61" s="221">
        <v>10</v>
      </c>
      <c r="F61" s="227">
        <v>3000</v>
      </c>
      <c r="G61" s="227">
        <f t="shared" si="31"/>
        <v>180000</v>
      </c>
      <c r="H61" s="268">
        <f t="shared" si="3"/>
        <v>305.167503051675</v>
      </c>
      <c r="I61" s="642">
        <f t="shared" si="32"/>
        <v>5400</v>
      </c>
      <c r="J61" s="642">
        <f>1050*D61</f>
        <v>6300</v>
      </c>
      <c r="K61" s="642">
        <f t="shared" si="33"/>
        <v>30000</v>
      </c>
    </row>
    <row r="62" spans="1:11" x14ac:dyDescent="0.25">
      <c r="A62" s="188">
        <v>3</v>
      </c>
      <c r="B62" s="189" t="s">
        <v>661</v>
      </c>
      <c r="C62" s="225" t="s">
        <v>28</v>
      </c>
      <c r="D62" s="226">
        <v>1</v>
      </c>
      <c r="E62" s="221">
        <v>10</v>
      </c>
      <c r="F62" s="227">
        <v>7500</v>
      </c>
      <c r="G62" s="227">
        <f t="shared" si="31"/>
        <v>75000</v>
      </c>
      <c r="H62" s="268">
        <f t="shared" si="3"/>
        <v>127.15312627153125</v>
      </c>
      <c r="I62" s="642">
        <f t="shared" si="32"/>
        <v>2250</v>
      </c>
      <c r="J62" s="642">
        <f>1600*D62</f>
        <v>1600</v>
      </c>
      <c r="K62" s="642">
        <f t="shared" si="33"/>
        <v>75000</v>
      </c>
    </row>
    <row r="63" spans="1:11" x14ac:dyDescent="0.25">
      <c r="A63" s="188">
        <v>4</v>
      </c>
      <c r="B63" s="189" t="s">
        <v>1365</v>
      </c>
      <c r="C63" s="225" t="s">
        <v>28</v>
      </c>
      <c r="D63" s="226">
        <v>22</v>
      </c>
      <c r="E63" s="221">
        <v>7</v>
      </c>
      <c r="F63" s="227">
        <v>3000</v>
      </c>
      <c r="G63" s="227">
        <f t="shared" si="31"/>
        <v>462000</v>
      </c>
      <c r="H63" s="268">
        <f t="shared" si="3"/>
        <v>783.26325783263258</v>
      </c>
      <c r="I63" s="642">
        <f t="shared" si="32"/>
        <v>13860</v>
      </c>
      <c r="J63" s="642">
        <f>550*D63</f>
        <v>12100</v>
      </c>
      <c r="K63" s="642">
        <f t="shared" si="33"/>
        <v>21000</v>
      </c>
    </row>
    <row r="64" spans="1:11" x14ac:dyDescent="0.25">
      <c r="A64" s="188">
        <v>5</v>
      </c>
      <c r="B64" s="189" t="s">
        <v>1338</v>
      </c>
      <c r="C64" s="225" t="s">
        <v>28</v>
      </c>
      <c r="D64" s="226">
        <v>1</v>
      </c>
      <c r="E64" s="221">
        <v>10</v>
      </c>
      <c r="F64" s="227">
        <v>8000</v>
      </c>
      <c r="G64" s="227">
        <f t="shared" si="31"/>
        <v>80000</v>
      </c>
      <c r="H64" s="268">
        <f t="shared" si="3"/>
        <v>135.6300013563</v>
      </c>
      <c r="I64" s="642">
        <f t="shared" si="32"/>
        <v>2400</v>
      </c>
      <c r="J64" s="642">
        <f>1600*D64</f>
        <v>1600</v>
      </c>
      <c r="K64" s="642">
        <f t="shared" si="33"/>
        <v>80000</v>
      </c>
    </row>
    <row r="65" spans="1:11" ht="16.5" thickBot="1" x14ac:dyDescent="0.3">
      <c r="A65" s="188">
        <v>6</v>
      </c>
      <c r="B65" s="189" t="s">
        <v>391</v>
      </c>
      <c r="C65" s="225" t="s">
        <v>28</v>
      </c>
      <c r="D65" s="226">
        <v>2</v>
      </c>
      <c r="E65" s="221">
        <v>10</v>
      </c>
      <c r="F65" s="227">
        <v>8000</v>
      </c>
      <c r="G65" s="227">
        <f t="shared" si="31"/>
        <v>160000</v>
      </c>
      <c r="H65" s="268">
        <f t="shared" si="3"/>
        <v>271.2600027126</v>
      </c>
      <c r="I65" s="642">
        <f t="shared" si="32"/>
        <v>4800</v>
      </c>
      <c r="J65" s="642">
        <f>1600*D65</f>
        <v>3200</v>
      </c>
      <c r="K65" s="642">
        <f t="shared" si="33"/>
        <v>80000</v>
      </c>
    </row>
    <row r="66" spans="1:11" ht="18.75" thickBot="1" x14ac:dyDescent="0.3">
      <c r="A66" s="341"/>
      <c r="B66" s="342" t="s">
        <v>1423</v>
      </c>
      <c r="C66" s="343"/>
      <c r="D66" s="343"/>
      <c r="E66" s="343"/>
      <c r="F66" s="344"/>
      <c r="G66" s="344">
        <f>SUM(G60:G65)</f>
        <v>1857000</v>
      </c>
      <c r="H66" s="345">
        <f>SUM(H60:H65)</f>
        <v>3148.3114064831138</v>
      </c>
      <c r="I66" s="263">
        <f>SUM(I60:I65)</f>
        <v>55710</v>
      </c>
      <c r="J66" s="263">
        <f>SUM(J60:J65)</f>
        <v>44000</v>
      </c>
      <c r="K66" s="12"/>
    </row>
    <row r="67" spans="1:11" x14ac:dyDescent="0.25">
      <c r="A67" s="242"/>
      <c r="B67" s="243"/>
      <c r="C67" s="242"/>
      <c r="D67" s="242"/>
      <c r="E67" s="242"/>
      <c r="F67" s="244"/>
      <c r="G67" s="244"/>
      <c r="H67" s="244"/>
      <c r="I67" s="12"/>
      <c r="J67" s="12"/>
      <c r="K67" s="12"/>
    </row>
    <row r="68" spans="1:11" x14ac:dyDescent="0.25">
      <c r="A68" s="188">
        <v>1</v>
      </c>
      <c r="B68" s="189" t="s">
        <v>57</v>
      </c>
      <c r="C68" s="225" t="s">
        <v>28</v>
      </c>
      <c r="D68" s="228">
        <v>2</v>
      </c>
      <c r="E68" s="229">
        <v>12</v>
      </c>
      <c r="F68" s="227">
        <v>12500</v>
      </c>
      <c r="G68" s="227">
        <f t="shared" ref="G68:G76" si="34">D68*E68*F68</f>
        <v>300000</v>
      </c>
      <c r="H68" s="268">
        <f t="shared" si="3"/>
        <v>508.612505086125</v>
      </c>
      <c r="I68" s="642">
        <f t="shared" ref="I68:I72" si="35">G68*0.03</f>
        <v>9000</v>
      </c>
      <c r="J68" s="642">
        <f>1900*D68</f>
        <v>3800</v>
      </c>
      <c r="K68" s="642">
        <f>G68/D68</f>
        <v>150000</v>
      </c>
    </row>
    <row r="69" spans="1:11" x14ac:dyDescent="0.25">
      <c r="A69" s="188">
        <v>2</v>
      </c>
      <c r="B69" s="189" t="s">
        <v>58</v>
      </c>
      <c r="C69" s="225" t="s">
        <v>28</v>
      </c>
      <c r="D69" s="495">
        <v>1</v>
      </c>
      <c r="E69" s="229">
        <v>10</v>
      </c>
      <c r="F69" s="25">
        <v>10000</v>
      </c>
      <c r="G69" s="227">
        <f t="shared" si="34"/>
        <v>100000</v>
      </c>
      <c r="H69" s="268">
        <f t="shared" si="3"/>
        <v>169.537501695375</v>
      </c>
      <c r="I69" s="642">
        <f t="shared" si="35"/>
        <v>3000</v>
      </c>
      <c r="J69" s="642">
        <f>1600*D69</f>
        <v>1600</v>
      </c>
      <c r="K69" s="642">
        <f t="shared" ref="K69:K72" si="36">G69/D69</f>
        <v>100000</v>
      </c>
    </row>
    <row r="70" spans="1:11" x14ac:dyDescent="0.25">
      <c r="A70" s="188">
        <v>3</v>
      </c>
      <c r="B70" s="189" t="s">
        <v>59</v>
      </c>
      <c r="C70" s="225" t="s">
        <v>28</v>
      </c>
      <c r="D70" s="495">
        <v>2</v>
      </c>
      <c r="E70" s="229">
        <v>13</v>
      </c>
      <c r="F70" s="25">
        <v>10000</v>
      </c>
      <c r="G70" s="227">
        <f t="shared" si="34"/>
        <v>260000</v>
      </c>
      <c r="H70" s="268">
        <f t="shared" si="3"/>
        <v>440.797504407975</v>
      </c>
      <c r="I70" s="642">
        <f t="shared" si="35"/>
        <v>7800</v>
      </c>
      <c r="J70" s="642">
        <f>1900*D70</f>
        <v>3800</v>
      </c>
      <c r="K70" s="642">
        <f t="shared" si="36"/>
        <v>130000</v>
      </c>
    </row>
    <row r="71" spans="1:11" x14ac:dyDescent="0.25">
      <c r="A71" s="188">
        <v>4</v>
      </c>
      <c r="B71" s="189" t="s">
        <v>60</v>
      </c>
      <c r="C71" s="225" t="s">
        <v>28</v>
      </c>
      <c r="D71" s="495">
        <v>1</v>
      </c>
      <c r="E71" s="229">
        <v>13</v>
      </c>
      <c r="F71" s="25">
        <v>10000</v>
      </c>
      <c r="G71" s="227">
        <f t="shared" si="34"/>
        <v>130000</v>
      </c>
      <c r="H71" s="268">
        <f t="shared" si="3"/>
        <v>220.3987522039875</v>
      </c>
      <c r="I71" s="642">
        <f t="shared" si="35"/>
        <v>3900</v>
      </c>
      <c r="J71" s="642">
        <f>1600*D71</f>
        <v>1600</v>
      </c>
      <c r="K71" s="642">
        <f t="shared" si="36"/>
        <v>130000</v>
      </c>
    </row>
    <row r="72" spans="1:11" x14ac:dyDescent="0.25">
      <c r="A72" s="188">
        <v>5</v>
      </c>
      <c r="B72" s="189" t="s">
        <v>61</v>
      </c>
      <c r="C72" s="225" t="s">
        <v>28</v>
      </c>
      <c r="D72" s="495">
        <v>1</v>
      </c>
      <c r="E72" s="229">
        <v>10</v>
      </c>
      <c r="F72" s="25">
        <v>10000</v>
      </c>
      <c r="G72" s="227">
        <f t="shared" si="34"/>
        <v>100000</v>
      </c>
      <c r="H72" s="268">
        <f t="shared" si="3"/>
        <v>169.537501695375</v>
      </c>
      <c r="I72" s="642">
        <f t="shared" si="35"/>
        <v>3000</v>
      </c>
      <c r="J72" s="642">
        <f>1600*D72</f>
        <v>1600</v>
      </c>
      <c r="K72" s="642">
        <f t="shared" si="36"/>
        <v>100000</v>
      </c>
    </row>
    <row r="73" spans="1:11" x14ac:dyDescent="0.25">
      <c r="A73" s="188">
        <v>6</v>
      </c>
      <c r="B73" s="189" t="s">
        <v>662</v>
      </c>
      <c r="C73" s="225" t="s">
        <v>28</v>
      </c>
      <c r="D73" s="495">
        <v>1</v>
      </c>
      <c r="E73" s="229">
        <v>10</v>
      </c>
      <c r="F73" s="25">
        <v>10000</v>
      </c>
      <c r="G73" s="227">
        <f t="shared" si="34"/>
        <v>100000</v>
      </c>
      <c r="H73" s="268">
        <f t="shared" si="3"/>
        <v>169.537501695375</v>
      </c>
      <c r="I73" s="642">
        <f t="shared" ref="I73" si="37">G73*0.03</f>
        <v>3000</v>
      </c>
      <c r="J73" s="642">
        <f>1600*D73</f>
        <v>1600</v>
      </c>
      <c r="K73" s="642">
        <f t="shared" ref="K73" si="38">G73/D73</f>
        <v>100000</v>
      </c>
    </row>
    <row r="74" spans="1:11" x14ac:dyDescent="0.25">
      <c r="A74" s="188">
        <v>7</v>
      </c>
      <c r="B74" s="189" t="s">
        <v>62</v>
      </c>
      <c r="C74" s="225" t="s">
        <v>28</v>
      </c>
      <c r="D74" s="495">
        <v>3</v>
      </c>
      <c r="E74" s="229">
        <v>10</v>
      </c>
      <c r="F74" s="25">
        <v>10000</v>
      </c>
      <c r="G74" s="227">
        <f t="shared" si="34"/>
        <v>300000</v>
      </c>
      <c r="H74" s="268">
        <f t="shared" si="3"/>
        <v>508.612505086125</v>
      </c>
      <c r="I74" s="642">
        <f t="shared" ref="I74:I76" si="39">G74*0.03</f>
        <v>9000</v>
      </c>
      <c r="J74" s="642">
        <f>1600*D74</f>
        <v>4800</v>
      </c>
      <c r="K74" s="642">
        <f t="shared" ref="K74:K76" si="40">G74/D74</f>
        <v>100000</v>
      </c>
    </row>
    <row r="75" spans="1:11" x14ac:dyDescent="0.25">
      <c r="A75" s="188">
        <v>8</v>
      </c>
      <c r="B75" s="189" t="s">
        <v>1515</v>
      </c>
      <c r="C75" s="225" t="s">
        <v>28</v>
      </c>
      <c r="D75" s="495">
        <v>0</v>
      </c>
      <c r="E75" s="229">
        <v>10</v>
      </c>
      <c r="F75" s="25">
        <v>10000</v>
      </c>
      <c r="G75" s="227">
        <f t="shared" si="34"/>
        <v>0</v>
      </c>
      <c r="H75" s="268">
        <f t="shared" si="3"/>
        <v>0</v>
      </c>
      <c r="I75" s="642">
        <f t="shared" si="39"/>
        <v>0</v>
      </c>
      <c r="J75" s="642">
        <f>1050*D75</f>
        <v>0</v>
      </c>
      <c r="K75" s="642"/>
    </row>
    <row r="76" spans="1:11" ht="16.5" thickBot="1" x14ac:dyDescent="0.3">
      <c r="A76" s="188">
        <v>9</v>
      </c>
      <c r="B76" s="189" t="s">
        <v>663</v>
      </c>
      <c r="C76" s="225" t="s">
        <v>28</v>
      </c>
      <c r="D76" s="495">
        <v>1</v>
      </c>
      <c r="E76" s="229">
        <v>10</v>
      </c>
      <c r="F76" s="227">
        <v>5000</v>
      </c>
      <c r="G76" s="227">
        <f t="shared" si="34"/>
        <v>50000</v>
      </c>
      <c r="H76" s="268">
        <f t="shared" si="3"/>
        <v>84.7687508476875</v>
      </c>
      <c r="I76" s="642">
        <f t="shared" si="39"/>
        <v>1500</v>
      </c>
      <c r="J76" s="642">
        <f>1050*D76</f>
        <v>1050</v>
      </c>
      <c r="K76" s="642">
        <f t="shared" si="40"/>
        <v>50000</v>
      </c>
    </row>
    <row r="77" spans="1:11" ht="18.75" thickBot="1" x14ac:dyDescent="0.3">
      <c r="A77" s="242" t="s">
        <v>522</v>
      </c>
      <c r="B77" s="243"/>
      <c r="C77" s="242"/>
      <c r="D77" s="242"/>
      <c r="E77" s="242"/>
      <c r="F77" s="244"/>
      <c r="G77" s="244">
        <f>SUM(G68:G76)</f>
        <v>1340000</v>
      </c>
      <c r="H77" s="340">
        <f>SUM(H68:H76)</f>
        <v>2271.8025227180246</v>
      </c>
      <c r="I77" s="263">
        <f>SUM(I68:I76)</f>
        <v>40200</v>
      </c>
      <c r="J77" s="263">
        <f>SUM(J68:J76)</f>
        <v>19850</v>
      </c>
      <c r="K77" s="263"/>
    </row>
    <row r="78" spans="1:11" ht="44.65" customHeight="1" thickBot="1" x14ac:dyDescent="0.3">
      <c r="A78" s="780" t="s">
        <v>526</v>
      </c>
      <c r="B78" s="781"/>
      <c r="C78" s="781"/>
      <c r="D78" s="781"/>
      <c r="E78" s="783"/>
      <c r="F78" s="348"/>
      <c r="G78" s="349"/>
      <c r="H78" s="350"/>
      <c r="I78" s="12"/>
      <c r="J78" s="12"/>
      <c r="K78" s="12"/>
    </row>
    <row r="79" spans="1:11" ht="18" x14ac:dyDescent="0.25">
      <c r="A79" s="233"/>
      <c r="B79" s="234" t="s">
        <v>524</v>
      </c>
      <c r="C79" s="234"/>
      <c r="D79" s="234"/>
      <c r="E79" s="234"/>
      <c r="F79" s="234"/>
      <c r="G79" s="234"/>
      <c r="H79" s="234"/>
      <c r="I79" s="234"/>
      <c r="J79" s="234"/>
      <c r="K79" s="234"/>
    </row>
    <row r="80" spans="1:11" x14ac:dyDescent="0.25">
      <c r="A80" s="22">
        <v>1</v>
      </c>
      <c r="B80" s="26" t="s">
        <v>1293</v>
      </c>
      <c r="C80" s="23" t="s">
        <v>83</v>
      </c>
      <c r="D80" s="19">
        <f>+(64-20)-8</f>
        <v>36</v>
      </c>
      <c r="E80" s="23">
        <v>10</v>
      </c>
      <c r="F80" s="25">
        <v>10000</v>
      </c>
      <c r="G80" s="227">
        <f t="shared" ref="G80:G99" si="41">D80*E80*F80</f>
        <v>3600000</v>
      </c>
      <c r="H80" s="268">
        <f t="shared" si="3"/>
        <v>6103.3500610335004</v>
      </c>
      <c r="I80" s="642">
        <f t="shared" ref="I80" si="42">G80*0.03</f>
        <v>108000</v>
      </c>
      <c r="J80" s="642">
        <f>1050*D80</f>
        <v>37800</v>
      </c>
      <c r="K80" s="642">
        <f t="shared" ref="K80" si="43">G80/D80</f>
        <v>100000</v>
      </c>
    </row>
    <row r="81" spans="1:11" x14ac:dyDescent="0.25">
      <c r="A81" s="22">
        <v>2</v>
      </c>
      <c r="B81" s="26" t="s">
        <v>1294</v>
      </c>
      <c r="C81" s="23" t="s">
        <v>30</v>
      </c>
      <c r="D81" s="19">
        <f>64*3*10</f>
        <v>1920</v>
      </c>
      <c r="E81" s="23">
        <v>1</v>
      </c>
      <c r="F81" s="25">
        <v>850</v>
      </c>
      <c r="G81" s="227">
        <f t="shared" si="41"/>
        <v>1632000</v>
      </c>
      <c r="H81" s="268">
        <f t="shared" si="3"/>
        <v>2766.8520276685203</v>
      </c>
      <c r="I81" s="12"/>
      <c r="J81" s="12"/>
      <c r="K81" s="12"/>
    </row>
    <row r="82" spans="1:11" x14ac:dyDescent="0.25">
      <c r="A82" s="22">
        <v>3</v>
      </c>
      <c r="B82" s="26" t="s">
        <v>1295</v>
      </c>
      <c r="C82" s="23" t="s">
        <v>83</v>
      </c>
      <c r="D82" s="19">
        <v>9</v>
      </c>
      <c r="E82" s="23">
        <v>10</v>
      </c>
      <c r="F82" s="25">
        <v>10000</v>
      </c>
      <c r="G82" s="227">
        <f t="shared" si="41"/>
        <v>900000</v>
      </c>
      <c r="H82" s="268">
        <f t="shared" si="3"/>
        <v>1525.8375152583751</v>
      </c>
      <c r="I82" s="642">
        <f t="shared" ref="I82" si="44">G82*0.03</f>
        <v>27000</v>
      </c>
      <c r="J82" s="642">
        <f>1050*D82</f>
        <v>9450</v>
      </c>
      <c r="K82" s="642">
        <f t="shared" ref="K82" si="45">G82/D82</f>
        <v>100000</v>
      </c>
    </row>
    <row r="83" spans="1:11" x14ac:dyDescent="0.25">
      <c r="A83" s="22">
        <v>4</v>
      </c>
      <c r="B83" s="26" t="s">
        <v>1296</v>
      </c>
      <c r="C83" s="23" t="s">
        <v>30</v>
      </c>
      <c r="D83" s="19">
        <f>9*3*10</f>
        <v>270</v>
      </c>
      <c r="E83" s="23">
        <v>1</v>
      </c>
      <c r="F83" s="25">
        <v>850</v>
      </c>
      <c r="G83" s="227">
        <f t="shared" si="41"/>
        <v>229500</v>
      </c>
      <c r="H83" s="268">
        <f t="shared" si="3"/>
        <v>389.08856639088566</v>
      </c>
      <c r="I83" s="12"/>
      <c r="J83" s="12"/>
      <c r="K83" s="12"/>
    </row>
    <row r="84" spans="1:11" x14ac:dyDescent="0.25">
      <c r="A84" s="22">
        <v>5</v>
      </c>
      <c r="B84" s="26" t="s">
        <v>1297</v>
      </c>
      <c r="C84" s="23" t="s">
        <v>84</v>
      </c>
      <c r="D84" s="19">
        <v>3</v>
      </c>
      <c r="E84" s="23">
        <v>0</v>
      </c>
      <c r="F84" s="25">
        <v>75000</v>
      </c>
      <c r="G84" s="227">
        <f t="shared" si="41"/>
        <v>0</v>
      </c>
      <c r="H84" s="268">
        <f t="shared" si="3"/>
        <v>0</v>
      </c>
      <c r="I84" s="12"/>
      <c r="J84" s="12"/>
      <c r="K84" s="12"/>
    </row>
    <row r="85" spans="1:11" x14ac:dyDescent="0.25">
      <c r="A85" s="22">
        <v>6</v>
      </c>
      <c r="B85" s="26" t="s">
        <v>1298</v>
      </c>
      <c r="C85" s="23" t="s">
        <v>29</v>
      </c>
      <c r="D85" s="19">
        <f>D84*100*0.2*10</f>
        <v>600</v>
      </c>
      <c r="E85" s="23">
        <v>1</v>
      </c>
      <c r="F85" s="25">
        <v>800</v>
      </c>
      <c r="G85" s="227">
        <f t="shared" si="41"/>
        <v>480000</v>
      </c>
      <c r="H85" s="268">
        <f t="shared" si="3"/>
        <v>813.7800081378</v>
      </c>
      <c r="I85" s="12"/>
      <c r="J85" s="12"/>
      <c r="K85" s="12"/>
    </row>
    <row r="86" spans="1:11" x14ac:dyDescent="0.25">
      <c r="A86" s="22">
        <v>7</v>
      </c>
      <c r="B86" s="26" t="s">
        <v>1350</v>
      </c>
      <c r="C86" s="23" t="s">
        <v>29</v>
      </c>
      <c r="D86" s="19">
        <f>10*1*10</f>
        <v>100</v>
      </c>
      <c r="E86" s="23">
        <v>1</v>
      </c>
      <c r="F86" s="25">
        <v>800</v>
      </c>
      <c r="G86" s="227">
        <f t="shared" si="41"/>
        <v>80000</v>
      </c>
      <c r="H86" s="268">
        <f t="shared" si="3"/>
        <v>135.6300013563</v>
      </c>
      <c r="I86" s="12"/>
      <c r="J86" s="12"/>
      <c r="K86" s="12"/>
    </row>
    <row r="87" spans="1:11" x14ac:dyDescent="0.25">
      <c r="A87" s="22">
        <v>8</v>
      </c>
      <c r="B87" s="26" t="s">
        <v>1299</v>
      </c>
      <c r="C87" s="23" t="s">
        <v>1280</v>
      </c>
      <c r="D87" s="19">
        <v>0</v>
      </c>
      <c r="E87" s="23">
        <v>0</v>
      </c>
      <c r="F87" s="25">
        <f>75000+225000</f>
        <v>300000</v>
      </c>
      <c r="G87" s="227">
        <f t="shared" si="41"/>
        <v>0</v>
      </c>
      <c r="H87" s="268">
        <f t="shared" si="3"/>
        <v>0</v>
      </c>
      <c r="I87" s="12"/>
      <c r="J87" s="12"/>
      <c r="K87" s="12"/>
    </row>
    <row r="88" spans="1:11" x14ac:dyDescent="0.25">
      <c r="A88" s="22">
        <v>9</v>
      </c>
      <c r="B88" s="26" t="s">
        <v>1447</v>
      </c>
      <c r="C88" s="23" t="s">
        <v>30</v>
      </c>
      <c r="D88" s="19">
        <v>0</v>
      </c>
      <c r="E88" s="23">
        <v>10</v>
      </c>
      <c r="F88" s="25">
        <v>10000</v>
      </c>
      <c r="G88" s="227">
        <f t="shared" si="41"/>
        <v>0</v>
      </c>
      <c r="H88" s="268">
        <f t="shared" si="3"/>
        <v>0</v>
      </c>
      <c r="I88" s="12"/>
      <c r="J88" s="12"/>
      <c r="K88" s="12"/>
    </row>
    <row r="89" spans="1:11" x14ac:dyDescent="0.25">
      <c r="A89" s="22">
        <v>10</v>
      </c>
      <c r="B89" s="26" t="s">
        <v>1347</v>
      </c>
      <c r="C89" s="23" t="s">
        <v>30</v>
      </c>
      <c r="D89" s="19">
        <f>D88*3*10</f>
        <v>0</v>
      </c>
      <c r="E89" s="23">
        <v>1</v>
      </c>
      <c r="F89" s="25">
        <v>850</v>
      </c>
      <c r="G89" s="227">
        <f t="shared" si="41"/>
        <v>0</v>
      </c>
      <c r="H89" s="268">
        <f t="shared" si="3"/>
        <v>0</v>
      </c>
      <c r="I89" s="12"/>
      <c r="J89" s="12"/>
      <c r="K89" s="12"/>
    </row>
    <row r="90" spans="1:11" x14ac:dyDescent="0.25">
      <c r="A90" s="22">
        <v>11</v>
      </c>
      <c r="B90" s="26" t="s">
        <v>1300</v>
      </c>
      <c r="C90" s="23" t="s">
        <v>1301</v>
      </c>
      <c r="D90" s="19">
        <v>0</v>
      </c>
      <c r="E90" s="23">
        <v>0</v>
      </c>
      <c r="F90" s="25">
        <v>6000</v>
      </c>
      <c r="G90" s="227">
        <f t="shared" si="41"/>
        <v>0</v>
      </c>
      <c r="H90" s="268">
        <f t="shared" si="3"/>
        <v>0</v>
      </c>
      <c r="I90" s="12"/>
      <c r="J90" s="12"/>
      <c r="K90" s="12"/>
    </row>
    <row r="91" spans="1:11" x14ac:dyDescent="0.25">
      <c r="A91" s="22">
        <v>12</v>
      </c>
      <c r="B91" s="26" t="s">
        <v>266</v>
      </c>
      <c r="C91" s="23" t="s">
        <v>1302</v>
      </c>
      <c r="D91" s="19">
        <f>D90/25</f>
        <v>0</v>
      </c>
      <c r="E91" s="23">
        <v>6</v>
      </c>
      <c r="F91" s="21">
        <v>25000</v>
      </c>
      <c r="G91" s="227">
        <f t="shared" si="41"/>
        <v>0</v>
      </c>
      <c r="H91" s="268">
        <f t="shared" si="3"/>
        <v>0</v>
      </c>
      <c r="I91" s="12"/>
      <c r="J91" s="12"/>
      <c r="K91" s="12"/>
    </row>
    <row r="92" spans="1:11" x14ac:dyDescent="0.25">
      <c r="A92" s="22">
        <v>13</v>
      </c>
      <c r="B92" s="26" t="s">
        <v>267</v>
      </c>
      <c r="C92" s="23" t="s">
        <v>1302</v>
      </c>
      <c r="D92" s="20">
        <v>0</v>
      </c>
      <c r="E92" s="19">
        <v>2</v>
      </c>
      <c r="F92" s="21">
        <v>40000</v>
      </c>
      <c r="G92" s="227">
        <f t="shared" si="41"/>
        <v>0</v>
      </c>
      <c r="H92" s="268">
        <f t="shared" si="3"/>
        <v>0</v>
      </c>
      <c r="I92" s="12"/>
      <c r="J92" s="12"/>
      <c r="K92" s="12"/>
    </row>
    <row r="93" spans="1:11" x14ac:dyDescent="0.25">
      <c r="A93" s="22">
        <v>14</v>
      </c>
      <c r="B93" s="26" t="s">
        <v>268</v>
      </c>
      <c r="C93" s="23" t="s">
        <v>1302</v>
      </c>
      <c r="D93" s="20">
        <v>0</v>
      </c>
      <c r="E93" s="19">
        <v>2</v>
      </c>
      <c r="F93" s="21">
        <v>20000</v>
      </c>
      <c r="G93" s="227">
        <f t="shared" si="41"/>
        <v>0</v>
      </c>
      <c r="H93" s="268">
        <f t="shared" si="3"/>
        <v>0</v>
      </c>
      <c r="I93" s="12"/>
      <c r="J93" s="12"/>
      <c r="K93" s="12"/>
    </row>
    <row r="94" spans="1:11" x14ac:dyDescent="0.25">
      <c r="A94" s="22">
        <v>15</v>
      </c>
      <c r="B94" s="26" t="s">
        <v>269</v>
      </c>
      <c r="C94" s="23" t="s">
        <v>1302</v>
      </c>
      <c r="D94" s="20">
        <v>0</v>
      </c>
      <c r="E94" s="19">
        <v>2</v>
      </c>
      <c r="F94" s="21">
        <v>50000</v>
      </c>
      <c r="G94" s="227">
        <f t="shared" si="41"/>
        <v>0</v>
      </c>
      <c r="H94" s="268">
        <f t="shared" ref="H94:H158" si="46">G94/589.84</f>
        <v>0</v>
      </c>
      <c r="I94" s="12"/>
      <c r="J94" s="12"/>
      <c r="K94" s="12"/>
    </row>
    <row r="95" spans="1:11" x14ac:dyDescent="0.25">
      <c r="A95" s="22">
        <v>16</v>
      </c>
      <c r="B95" s="26" t="s">
        <v>87</v>
      </c>
      <c r="C95" s="23" t="s">
        <v>85</v>
      </c>
      <c r="D95" s="20">
        <v>0</v>
      </c>
      <c r="E95" s="19">
        <v>2</v>
      </c>
      <c r="F95" s="21">
        <v>2250</v>
      </c>
      <c r="G95" s="227">
        <f t="shared" si="41"/>
        <v>0</v>
      </c>
      <c r="H95" s="268">
        <f t="shared" si="46"/>
        <v>0</v>
      </c>
      <c r="I95" s="12"/>
      <c r="J95" s="12"/>
      <c r="K95" s="12"/>
    </row>
    <row r="96" spans="1:11" x14ac:dyDescent="0.25">
      <c r="A96" s="22">
        <v>17</v>
      </c>
      <c r="B96" s="26" t="s">
        <v>1303</v>
      </c>
      <c r="C96" s="23" t="s">
        <v>85</v>
      </c>
      <c r="D96" s="20">
        <v>0</v>
      </c>
      <c r="E96" s="19">
        <v>2</v>
      </c>
      <c r="F96" s="21">
        <v>6000</v>
      </c>
      <c r="G96" s="227">
        <f t="shared" si="41"/>
        <v>0</v>
      </c>
      <c r="H96" s="268">
        <f t="shared" si="46"/>
        <v>0</v>
      </c>
      <c r="I96" s="12"/>
      <c r="J96" s="12"/>
      <c r="K96" s="12"/>
    </row>
    <row r="97" spans="1:11" x14ac:dyDescent="0.25">
      <c r="A97" s="22">
        <v>18</v>
      </c>
      <c r="B97" s="26" t="s">
        <v>270</v>
      </c>
      <c r="C97" s="23" t="s">
        <v>17</v>
      </c>
      <c r="D97" s="24">
        <v>20</v>
      </c>
      <c r="E97" s="23">
        <v>10</v>
      </c>
      <c r="F97" s="25">
        <v>800</v>
      </c>
      <c r="G97" s="227">
        <f t="shared" si="41"/>
        <v>160000</v>
      </c>
      <c r="H97" s="268">
        <f t="shared" si="46"/>
        <v>271.2600027126</v>
      </c>
      <c r="I97" s="12"/>
      <c r="J97" s="12"/>
      <c r="K97" s="12"/>
    </row>
    <row r="98" spans="1:11" x14ac:dyDescent="0.25">
      <c r="A98" s="22">
        <v>19</v>
      </c>
      <c r="B98" s="26" t="s">
        <v>1304</v>
      </c>
      <c r="C98" s="23" t="s">
        <v>1305</v>
      </c>
      <c r="D98" s="20">
        <v>32</v>
      </c>
      <c r="E98" s="19">
        <v>1</v>
      </c>
      <c r="F98" s="21">
        <v>1500</v>
      </c>
      <c r="G98" s="227">
        <f t="shared" si="41"/>
        <v>48000</v>
      </c>
      <c r="H98" s="268">
        <f t="shared" si="46"/>
        <v>81.378000813780005</v>
      </c>
      <c r="I98" s="12"/>
      <c r="J98" s="12"/>
      <c r="K98" s="12"/>
    </row>
    <row r="99" spans="1:11" ht="16.5" thickBot="1" x14ac:dyDescent="0.3">
      <c r="A99" s="22">
        <v>20</v>
      </c>
      <c r="B99" s="26" t="s">
        <v>265</v>
      </c>
      <c r="C99" s="23" t="s">
        <v>1306</v>
      </c>
      <c r="D99" s="20">
        <v>0</v>
      </c>
      <c r="E99" s="19">
        <v>9</v>
      </c>
      <c r="F99" s="21">
        <v>10000</v>
      </c>
      <c r="G99" s="227">
        <f t="shared" si="41"/>
        <v>0</v>
      </c>
      <c r="H99" s="268">
        <f t="shared" si="46"/>
        <v>0</v>
      </c>
      <c r="I99" s="12"/>
      <c r="J99" s="12"/>
      <c r="K99" s="12"/>
    </row>
    <row r="100" spans="1:11" ht="19.149999999999999" customHeight="1" thickBot="1" x14ac:dyDescent="0.3">
      <c r="A100" s="780" t="s">
        <v>525</v>
      </c>
      <c r="B100" s="781"/>
      <c r="C100" s="781"/>
      <c r="D100" s="781"/>
      <c r="E100" s="783"/>
      <c r="F100" s="348"/>
      <c r="G100" s="349">
        <f>SUM(G80:G99)</f>
        <v>7129500</v>
      </c>
      <c r="H100" s="350">
        <f>SUM(H80:H99)</f>
        <v>12087.176183371761</v>
      </c>
      <c r="I100" s="263">
        <f>I80+I82</f>
        <v>135000</v>
      </c>
      <c r="J100" s="263">
        <f>J80+J82</f>
        <v>47250</v>
      </c>
      <c r="K100" s="12"/>
    </row>
    <row r="101" spans="1:11" ht="18" x14ac:dyDescent="0.25">
      <c r="A101" s="233"/>
      <c r="B101" s="234" t="s">
        <v>399</v>
      </c>
      <c r="C101" s="234"/>
      <c r="D101" s="234"/>
      <c r="E101" s="234"/>
      <c r="F101" s="234"/>
      <c r="G101" s="234"/>
      <c r="H101" s="268">
        <f t="shared" si="46"/>
        <v>0</v>
      </c>
      <c r="I101" s="12"/>
      <c r="J101" s="12"/>
      <c r="K101" s="12"/>
    </row>
    <row r="102" spans="1:11" ht="18" x14ac:dyDescent="0.25">
      <c r="A102" s="205"/>
      <c r="B102" s="205" t="s">
        <v>400</v>
      </c>
      <c r="C102" s="205"/>
      <c r="D102" s="205"/>
      <c r="E102" s="205"/>
      <c r="F102" s="205"/>
      <c r="G102" s="205"/>
      <c r="H102" s="268">
        <f t="shared" si="46"/>
        <v>0</v>
      </c>
      <c r="I102" s="12"/>
      <c r="J102" s="12"/>
      <c r="K102" s="12"/>
    </row>
    <row r="103" spans="1:11" ht="28.5" x14ac:dyDescent="0.25">
      <c r="A103" s="188">
        <v>1</v>
      </c>
      <c r="B103" s="189" t="s">
        <v>694</v>
      </c>
      <c r="C103" s="225" t="s">
        <v>28</v>
      </c>
      <c r="D103" s="226">
        <v>1</v>
      </c>
      <c r="E103" s="226">
        <v>3</v>
      </c>
      <c r="F103" s="227">
        <v>8000</v>
      </c>
      <c r="G103" s="227">
        <f>D103*E103*F103</f>
        <v>24000</v>
      </c>
      <c r="H103" s="268">
        <f t="shared" si="46"/>
        <v>40.689000406890003</v>
      </c>
      <c r="I103" s="642">
        <f>G103*0.03</f>
        <v>720</v>
      </c>
      <c r="J103" s="642">
        <f>550*D103</f>
        <v>550</v>
      </c>
      <c r="K103" s="642">
        <f>G103/D103</f>
        <v>24000</v>
      </c>
    </row>
    <row r="104" spans="1:11" ht="28.5" x14ac:dyDescent="0.25">
      <c r="A104" s="188">
        <v>2</v>
      </c>
      <c r="B104" s="189" t="s">
        <v>683</v>
      </c>
      <c r="C104" s="225" t="s">
        <v>28</v>
      </c>
      <c r="D104" s="226">
        <v>1</v>
      </c>
      <c r="E104" s="226">
        <v>3</v>
      </c>
      <c r="F104" s="227">
        <v>8000</v>
      </c>
      <c r="G104" s="227">
        <f t="shared" ref="G104:G124" si="47">D104*E104*F104</f>
        <v>24000</v>
      </c>
      <c r="H104" s="268">
        <f t="shared" si="46"/>
        <v>40.689000406890003</v>
      </c>
      <c r="I104" s="642">
        <f t="shared" ref="I104:I107" si="48">G104*0.03</f>
        <v>720</v>
      </c>
      <c r="J104" s="642">
        <f t="shared" ref="J104:J116" si="49">550*D104</f>
        <v>550</v>
      </c>
      <c r="K104" s="642">
        <f t="shared" ref="K104:K107" si="50">G104/D104</f>
        <v>24000</v>
      </c>
    </row>
    <row r="105" spans="1:11" ht="28.5" x14ac:dyDescent="0.25">
      <c r="A105" s="188">
        <v>3</v>
      </c>
      <c r="B105" s="189" t="s">
        <v>684</v>
      </c>
      <c r="C105" s="225" t="s">
        <v>28</v>
      </c>
      <c r="D105" s="226">
        <v>1</v>
      </c>
      <c r="E105" s="226">
        <v>3</v>
      </c>
      <c r="F105" s="227">
        <v>8000</v>
      </c>
      <c r="G105" s="227">
        <f t="shared" si="47"/>
        <v>24000</v>
      </c>
      <c r="H105" s="268">
        <f t="shared" si="46"/>
        <v>40.689000406890003</v>
      </c>
      <c r="I105" s="642">
        <f t="shared" si="48"/>
        <v>720</v>
      </c>
      <c r="J105" s="642">
        <f t="shared" si="49"/>
        <v>550</v>
      </c>
      <c r="K105" s="642">
        <f t="shared" si="50"/>
        <v>24000</v>
      </c>
    </row>
    <row r="106" spans="1:11" ht="28.5" x14ac:dyDescent="0.25">
      <c r="A106" s="188">
        <v>4</v>
      </c>
      <c r="B106" s="189" t="s">
        <v>685</v>
      </c>
      <c r="C106" s="225" t="s">
        <v>28</v>
      </c>
      <c r="D106" s="226">
        <v>1</v>
      </c>
      <c r="E106" s="226">
        <v>3</v>
      </c>
      <c r="F106" s="227">
        <v>8000</v>
      </c>
      <c r="G106" s="227">
        <f t="shared" si="47"/>
        <v>24000</v>
      </c>
      <c r="H106" s="268">
        <f t="shared" si="46"/>
        <v>40.689000406890003</v>
      </c>
      <c r="I106" s="642">
        <f t="shared" si="48"/>
        <v>720</v>
      </c>
      <c r="J106" s="642">
        <f t="shared" si="49"/>
        <v>550</v>
      </c>
      <c r="K106" s="642">
        <f t="shared" si="50"/>
        <v>24000</v>
      </c>
    </row>
    <row r="107" spans="1:11" ht="28.5" x14ac:dyDescent="0.25">
      <c r="A107" s="188">
        <v>5</v>
      </c>
      <c r="B107" s="189" t="s">
        <v>686</v>
      </c>
      <c r="C107" s="225" t="s">
        <v>28</v>
      </c>
      <c r="D107" s="226">
        <v>1</v>
      </c>
      <c r="E107" s="226">
        <v>3</v>
      </c>
      <c r="F107" s="227">
        <v>8000</v>
      </c>
      <c r="G107" s="227">
        <f t="shared" si="47"/>
        <v>24000</v>
      </c>
      <c r="H107" s="268">
        <f t="shared" si="46"/>
        <v>40.689000406890003</v>
      </c>
      <c r="I107" s="642">
        <f t="shared" si="48"/>
        <v>720</v>
      </c>
      <c r="J107" s="642">
        <f t="shared" si="49"/>
        <v>550</v>
      </c>
      <c r="K107" s="642">
        <f t="shared" si="50"/>
        <v>24000</v>
      </c>
    </row>
    <row r="108" spans="1:11" ht="28.5" x14ac:dyDescent="0.25">
      <c r="A108" s="188">
        <v>6</v>
      </c>
      <c r="B108" s="189" t="s">
        <v>687</v>
      </c>
      <c r="C108" s="225" t="s">
        <v>28</v>
      </c>
      <c r="D108" s="226">
        <v>1</v>
      </c>
      <c r="E108" s="226">
        <v>3</v>
      </c>
      <c r="F108" s="227">
        <v>8000</v>
      </c>
      <c r="G108" s="227">
        <f t="shared" si="47"/>
        <v>24000</v>
      </c>
      <c r="H108" s="268">
        <f t="shared" si="46"/>
        <v>40.689000406890003</v>
      </c>
      <c r="I108" s="642">
        <f t="shared" ref="I108" si="51">G108*0.03</f>
        <v>720</v>
      </c>
      <c r="J108" s="642">
        <f t="shared" si="49"/>
        <v>550</v>
      </c>
      <c r="K108" s="642">
        <f t="shared" ref="K108" si="52">G108/D108</f>
        <v>24000</v>
      </c>
    </row>
    <row r="109" spans="1:11" ht="28.5" x14ac:dyDescent="0.25">
      <c r="A109" s="188">
        <v>7</v>
      </c>
      <c r="B109" s="189" t="s">
        <v>695</v>
      </c>
      <c r="C109" s="225" t="s">
        <v>28</v>
      </c>
      <c r="D109" s="226">
        <v>1</v>
      </c>
      <c r="E109" s="226">
        <v>3</v>
      </c>
      <c r="F109" s="227">
        <v>5000</v>
      </c>
      <c r="G109" s="227">
        <f t="shared" si="47"/>
        <v>15000</v>
      </c>
      <c r="H109" s="268">
        <f t="shared" si="46"/>
        <v>25.43062525430625</v>
      </c>
      <c r="I109" s="642">
        <f t="shared" ref="I109:I117" si="53">G109*0.03</f>
        <v>450</v>
      </c>
      <c r="J109" s="642">
        <f t="shared" si="49"/>
        <v>550</v>
      </c>
      <c r="K109" s="642">
        <f t="shared" ref="K109:K117" si="54">G109/D109</f>
        <v>15000</v>
      </c>
    </row>
    <row r="110" spans="1:11" ht="28.5" x14ac:dyDescent="0.25">
      <c r="A110" s="188">
        <v>8</v>
      </c>
      <c r="B110" s="189" t="s">
        <v>688</v>
      </c>
      <c r="C110" s="225" t="s">
        <v>28</v>
      </c>
      <c r="D110" s="226">
        <v>1</v>
      </c>
      <c r="E110" s="226">
        <v>3</v>
      </c>
      <c r="F110" s="227">
        <v>8000</v>
      </c>
      <c r="G110" s="227">
        <f t="shared" si="47"/>
        <v>24000</v>
      </c>
      <c r="H110" s="268">
        <f t="shared" si="46"/>
        <v>40.689000406890003</v>
      </c>
      <c r="I110" s="642">
        <f t="shared" si="53"/>
        <v>720</v>
      </c>
      <c r="J110" s="642">
        <f t="shared" si="49"/>
        <v>550</v>
      </c>
      <c r="K110" s="642">
        <f t="shared" si="54"/>
        <v>24000</v>
      </c>
    </row>
    <row r="111" spans="1:11" x14ac:dyDescent="0.25">
      <c r="A111" s="188">
        <v>9</v>
      </c>
      <c r="B111" s="189" t="s">
        <v>318</v>
      </c>
      <c r="C111" s="225" t="s">
        <v>28</v>
      </c>
      <c r="D111" s="226">
        <v>3</v>
      </c>
      <c r="E111" s="226">
        <v>3</v>
      </c>
      <c r="F111" s="227">
        <v>5000</v>
      </c>
      <c r="G111" s="227">
        <f t="shared" si="47"/>
        <v>45000</v>
      </c>
      <c r="H111" s="268">
        <f t="shared" si="46"/>
        <v>76.29187576291875</v>
      </c>
      <c r="I111" s="642">
        <f t="shared" si="53"/>
        <v>1350</v>
      </c>
      <c r="J111" s="642">
        <f t="shared" si="49"/>
        <v>1650</v>
      </c>
      <c r="K111" s="642">
        <f t="shared" si="54"/>
        <v>15000</v>
      </c>
    </row>
    <row r="112" spans="1:11" x14ac:dyDescent="0.25">
      <c r="A112" s="188">
        <v>10</v>
      </c>
      <c r="B112" s="189" t="s">
        <v>319</v>
      </c>
      <c r="C112" s="225" t="s">
        <v>28</v>
      </c>
      <c r="D112" s="226">
        <v>2</v>
      </c>
      <c r="E112" s="226">
        <v>3</v>
      </c>
      <c r="F112" s="227">
        <v>5000</v>
      </c>
      <c r="G112" s="227">
        <f t="shared" si="47"/>
        <v>30000</v>
      </c>
      <c r="H112" s="268">
        <f t="shared" si="46"/>
        <v>50.8612505086125</v>
      </c>
      <c r="I112" s="642">
        <f t="shared" si="53"/>
        <v>900</v>
      </c>
      <c r="J112" s="642">
        <f t="shared" si="49"/>
        <v>1100</v>
      </c>
      <c r="K112" s="642">
        <f t="shared" si="54"/>
        <v>15000</v>
      </c>
    </row>
    <row r="113" spans="1:11" x14ac:dyDescent="0.25">
      <c r="A113" s="22">
        <v>11</v>
      </c>
      <c r="B113" s="189" t="s">
        <v>1471</v>
      </c>
      <c r="C113" s="225" t="s">
        <v>28</v>
      </c>
      <c r="D113" s="226">
        <v>1</v>
      </c>
      <c r="E113" s="226">
        <v>3</v>
      </c>
      <c r="F113" s="227">
        <v>5000</v>
      </c>
      <c r="G113" s="25">
        <f t="shared" si="47"/>
        <v>15000</v>
      </c>
      <c r="H113" s="268">
        <f t="shared" si="46"/>
        <v>25.43062525430625</v>
      </c>
      <c r="I113" s="642">
        <f t="shared" si="53"/>
        <v>450</v>
      </c>
      <c r="J113" s="642">
        <f t="shared" si="49"/>
        <v>550</v>
      </c>
      <c r="K113" s="642">
        <f t="shared" si="54"/>
        <v>15000</v>
      </c>
    </row>
    <row r="114" spans="1:11" x14ac:dyDescent="0.25">
      <c r="A114" s="22">
        <v>12</v>
      </c>
      <c r="B114" s="189" t="s">
        <v>1472</v>
      </c>
      <c r="C114" s="225" t="s">
        <v>28</v>
      </c>
      <c r="D114" s="226">
        <v>1</v>
      </c>
      <c r="E114" s="226">
        <v>3</v>
      </c>
      <c r="F114" s="227">
        <v>5000</v>
      </c>
      <c r="G114" s="25">
        <f t="shared" si="47"/>
        <v>15000</v>
      </c>
      <c r="H114" s="268">
        <f t="shared" si="46"/>
        <v>25.43062525430625</v>
      </c>
      <c r="I114" s="642">
        <f t="shared" si="53"/>
        <v>450</v>
      </c>
      <c r="J114" s="642">
        <f t="shared" si="49"/>
        <v>550</v>
      </c>
      <c r="K114" s="642">
        <f t="shared" si="54"/>
        <v>15000</v>
      </c>
    </row>
    <row r="115" spans="1:11" x14ac:dyDescent="0.25">
      <c r="A115" s="188">
        <v>13</v>
      </c>
      <c r="B115" s="189" t="s">
        <v>320</v>
      </c>
      <c r="C115" s="225" t="s">
        <v>28</v>
      </c>
      <c r="D115" s="226">
        <v>1</v>
      </c>
      <c r="E115" s="226">
        <v>3</v>
      </c>
      <c r="F115" s="227">
        <v>5000</v>
      </c>
      <c r="G115" s="227">
        <f t="shared" si="47"/>
        <v>15000</v>
      </c>
      <c r="H115" s="268">
        <f t="shared" si="46"/>
        <v>25.43062525430625</v>
      </c>
      <c r="I115" s="642">
        <f t="shared" si="53"/>
        <v>450</v>
      </c>
      <c r="J115" s="642">
        <f t="shared" si="49"/>
        <v>550</v>
      </c>
      <c r="K115" s="642">
        <f t="shared" si="54"/>
        <v>15000</v>
      </c>
    </row>
    <row r="116" spans="1:11" x14ac:dyDescent="0.25">
      <c r="A116" s="188">
        <v>14</v>
      </c>
      <c r="B116" s="189" t="s">
        <v>321</v>
      </c>
      <c r="C116" s="225" t="s">
        <v>28</v>
      </c>
      <c r="D116" s="226">
        <v>1</v>
      </c>
      <c r="E116" s="226">
        <v>3</v>
      </c>
      <c r="F116" s="227">
        <v>5000</v>
      </c>
      <c r="G116" s="227">
        <f t="shared" si="47"/>
        <v>15000</v>
      </c>
      <c r="H116" s="268">
        <f t="shared" si="46"/>
        <v>25.43062525430625</v>
      </c>
      <c r="I116" s="642">
        <f t="shared" si="53"/>
        <v>450</v>
      </c>
      <c r="J116" s="642">
        <f t="shared" si="49"/>
        <v>550</v>
      </c>
      <c r="K116" s="642">
        <f t="shared" si="54"/>
        <v>15000</v>
      </c>
    </row>
    <row r="117" spans="1:11" ht="16.149999999999999" customHeight="1" x14ac:dyDescent="0.25">
      <c r="A117" s="188">
        <v>15</v>
      </c>
      <c r="B117" s="189" t="s">
        <v>1360</v>
      </c>
      <c r="C117" s="225" t="s">
        <v>28</v>
      </c>
      <c r="D117" s="226">
        <v>3</v>
      </c>
      <c r="E117" s="226">
        <v>3</v>
      </c>
      <c r="F117" s="227">
        <v>12500</v>
      </c>
      <c r="G117" s="227">
        <f t="shared" si="47"/>
        <v>112500</v>
      </c>
      <c r="H117" s="268">
        <f t="shared" si="46"/>
        <v>190.72968940729689</v>
      </c>
      <c r="I117" s="642">
        <f t="shared" si="53"/>
        <v>3375</v>
      </c>
      <c r="J117" s="642">
        <f>1050*D117</f>
        <v>3150</v>
      </c>
      <c r="K117" s="642">
        <f t="shared" si="54"/>
        <v>37500</v>
      </c>
    </row>
    <row r="118" spans="1:11" x14ac:dyDescent="0.25">
      <c r="A118" s="188">
        <v>16</v>
      </c>
      <c r="B118" s="189" t="s">
        <v>689</v>
      </c>
      <c r="C118" s="225" t="s">
        <v>28</v>
      </c>
      <c r="D118" s="226">
        <v>3</v>
      </c>
      <c r="E118" s="226">
        <v>4</v>
      </c>
      <c r="F118" s="227">
        <v>25000</v>
      </c>
      <c r="G118" s="227">
        <f t="shared" si="47"/>
        <v>300000</v>
      </c>
      <c r="H118" s="268">
        <f t="shared" si="46"/>
        <v>508.612505086125</v>
      </c>
      <c r="I118" s="642">
        <f t="shared" ref="I118" si="55">G118*0.03</f>
        <v>9000</v>
      </c>
      <c r="J118" s="642">
        <f>1600*D118</f>
        <v>4800</v>
      </c>
      <c r="K118" s="642">
        <f>G118/D118</f>
        <v>100000</v>
      </c>
    </row>
    <row r="119" spans="1:11" x14ac:dyDescent="0.25">
      <c r="A119" s="188">
        <v>17</v>
      </c>
      <c r="B119" s="189" t="s">
        <v>31</v>
      </c>
      <c r="C119" s="225" t="s">
        <v>28</v>
      </c>
      <c r="D119" s="226">
        <v>1</v>
      </c>
      <c r="E119" s="226">
        <v>3</v>
      </c>
      <c r="F119" s="227">
        <v>3000</v>
      </c>
      <c r="G119" s="227">
        <f t="shared" si="47"/>
        <v>9000</v>
      </c>
      <c r="H119" s="268">
        <f t="shared" si="46"/>
        <v>15.258375152583751</v>
      </c>
      <c r="I119" s="642">
        <f t="shared" ref="I119" si="56">G119*0.03</f>
        <v>270</v>
      </c>
      <c r="J119" s="642">
        <f>550*D119</f>
        <v>550</v>
      </c>
      <c r="K119" s="642">
        <f>G119/D119</f>
        <v>9000</v>
      </c>
    </row>
    <row r="120" spans="1:11" x14ac:dyDescent="0.25">
      <c r="A120" s="188">
        <v>18</v>
      </c>
      <c r="B120" s="26" t="s">
        <v>271</v>
      </c>
      <c r="C120" s="23" t="s">
        <v>28</v>
      </c>
      <c r="D120" s="24">
        <v>2</v>
      </c>
      <c r="E120" s="226">
        <v>3</v>
      </c>
      <c r="F120" s="227">
        <v>0</v>
      </c>
      <c r="G120" s="227">
        <f t="shared" si="47"/>
        <v>0</v>
      </c>
      <c r="H120" s="268">
        <f t="shared" si="46"/>
        <v>0</v>
      </c>
      <c r="I120" s="642">
        <f t="shared" ref="I120" si="57">G120*0.03</f>
        <v>0</v>
      </c>
      <c r="J120" s="642">
        <v>0</v>
      </c>
      <c r="K120" s="642">
        <f>G120/D120</f>
        <v>0</v>
      </c>
    </row>
    <row r="121" spans="1:11" x14ac:dyDescent="0.25">
      <c r="A121" s="188">
        <v>19</v>
      </c>
      <c r="B121" s="189" t="s">
        <v>32</v>
      </c>
      <c r="C121" s="225" t="s">
        <v>28</v>
      </c>
      <c r="D121" s="226">
        <f>SUM(D103:D120)</f>
        <v>26</v>
      </c>
      <c r="E121" s="226">
        <v>3</v>
      </c>
      <c r="F121" s="227">
        <v>6500</v>
      </c>
      <c r="G121" s="227">
        <f t="shared" si="47"/>
        <v>507000</v>
      </c>
      <c r="H121" s="268">
        <f t="shared" si="46"/>
        <v>859.5551335955513</v>
      </c>
      <c r="I121" s="642">
        <v>0</v>
      </c>
      <c r="J121" s="642">
        <v>0</v>
      </c>
      <c r="K121" s="642">
        <v>0</v>
      </c>
    </row>
    <row r="122" spans="1:11" x14ac:dyDescent="0.25">
      <c r="A122" s="188">
        <v>20</v>
      </c>
      <c r="B122" s="189" t="s">
        <v>690</v>
      </c>
      <c r="C122" s="225" t="s">
        <v>28</v>
      </c>
      <c r="D122" s="226">
        <v>20</v>
      </c>
      <c r="E122" s="226">
        <v>3</v>
      </c>
      <c r="F122" s="227">
        <v>800</v>
      </c>
      <c r="G122" s="227">
        <f t="shared" si="47"/>
        <v>48000</v>
      </c>
      <c r="H122" s="268">
        <f t="shared" si="46"/>
        <v>81.378000813780005</v>
      </c>
      <c r="I122" s="642">
        <v>0</v>
      </c>
      <c r="J122" s="642">
        <v>0</v>
      </c>
      <c r="K122" s="642">
        <v>0</v>
      </c>
    </row>
    <row r="123" spans="1:11" x14ac:dyDescent="0.25">
      <c r="A123" s="188">
        <v>21</v>
      </c>
      <c r="B123" s="189" t="s">
        <v>1281</v>
      </c>
      <c r="C123" s="225" t="s">
        <v>28</v>
      </c>
      <c r="D123" s="226">
        <v>8</v>
      </c>
      <c r="E123" s="226">
        <v>3</v>
      </c>
      <c r="F123" s="227">
        <v>1500</v>
      </c>
      <c r="G123" s="227">
        <f t="shared" si="47"/>
        <v>36000</v>
      </c>
      <c r="H123" s="268">
        <f t="shared" si="46"/>
        <v>61.033500610335004</v>
      </c>
      <c r="I123" s="642">
        <v>0</v>
      </c>
      <c r="J123" s="642">
        <v>0</v>
      </c>
      <c r="K123" s="642">
        <v>0</v>
      </c>
    </row>
    <row r="124" spans="1:11" ht="16.5" thickBot="1" x14ac:dyDescent="0.3">
      <c r="A124" s="188">
        <v>22</v>
      </c>
      <c r="B124" s="189" t="s">
        <v>432</v>
      </c>
      <c r="C124" s="225" t="s">
        <v>30</v>
      </c>
      <c r="D124" s="226">
        <v>50</v>
      </c>
      <c r="E124" s="226">
        <v>1</v>
      </c>
      <c r="F124" s="227">
        <v>800</v>
      </c>
      <c r="G124" s="227">
        <f t="shared" si="47"/>
        <v>40000</v>
      </c>
      <c r="H124" s="268">
        <f t="shared" si="46"/>
        <v>67.81500067815</v>
      </c>
      <c r="I124" s="642">
        <v>0</v>
      </c>
      <c r="J124" s="642">
        <v>0</v>
      </c>
      <c r="K124" s="642">
        <v>0</v>
      </c>
    </row>
    <row r="125" spans="1:11" ht="18.75" thickBot="1" x14ac:dyDescent="0.3">
      <c r="A125" s="341"/>
      <c r="B125" s="342" t="s">
        <v>1399</v>
      </c>
      <c r="C125" s="343"/>
      <c r="D125" s="343"/>
      <c r="E125" s="343"/>
      <c r="F125" s="344"/>
      <c r="G125" s="344">
        <f>SUM(G103:G124)</f>
        <v>1370500</v>
      </c>
      <c r="H125" s="345">
        <f>SUM(H101:H124)</f>
        <v>2323.5114607351143</v>
      </c>
      <c r="I125" s="263">
        <f>SUM(I103:I124)</f>
        <v>22185</v>
      </c>
      <c r="J125" s="263">
        <f>SUM(J103:J124)</f>
        <v>17850</v>
      </c>
      <c r="K125" s="395"/>
    </row>
    <row r="126" spans="1:11" x14ac:dyDescent="0.25">
      <c r="A126" s="188">
        <v>1</v>
      </c>
      <c r="B126" s="189" t="s">
        <v>691</v>
      </c>
      <c r="C126" s="225" t="s">
        <v>28</v>
      </c>
      <c r="D126" s="226">
        <v>6</v>
      </c>
      <c r="E126" s="225">
        <v>3</v>
      </c>
      <c r="F126" s="227">
        <v>3000</v>
      </c>
      <c r="G126" s="227">
        <f t="shared" ref="G126:G136" si="58">D126*E126*F126</f>
        <v>54000</v>
      </c>
      <c r="H126" s="268">
        <f t="shared" si="46"/>
        <v>91.550250915502502</v>
      </c>
      <c r="I126" s="642">
        <f t="shared" ref="I126" si="59">G126*0.03</f>
        <v>1620</v>
      </c>
      <c r="J126" s="642">
        <f>350*D126</f>
        <v>2100</v>
      </c>
      <c r="K126" s="642">
        <f>G126/D126</f>
        <v>9000</v>
      </c>
    </row>
    <row r="127" spans="1:11" x14ac:dyDescent="0.25">
      <c r="A127" s="188">
        <v>2</v>
      </c>
      <c r="B127" s="189" t="s">
        <v>679</v>
      </c>
      <c r="C127" s="225" t="s">
        <v>28</v>
      </c>
      <c r="D127" s="226">
        <v>12</v>
      </c>
      <c r="E127" s="225">
        <v>3</v>
      </c>
      <c r="F127" s="227">
        <v>3000</v>
      </c>
      <c r="G127" s="227">
        <f t="shared" si="58"/>
        <v>108000</v>
      </c>
      <c r="H127" s="268">
        <f t="shared" si="46"/>
        <v>183.100501831005</v>
      </c>
      <c r="I127" s="642">
        <f t="shared" ref="I127:I136" si="60">G127*0.03</f>
        <v>3240</v>
      </c>
      <c r="J127" s="642">
        <f t="shared" ref="J127:J136" si="61">350*D127</f>
        <v>4200</v>
      </c>
      <c r="K127" s="642">
        <f t="shared" ref="K127:K136" si="62">G127/D127</f>
        <v>9000</v>
      </c>
    </row>
    <row r="128" spans="1:11" x14ac:dyDescent="0.25">
      <c r="A128" s="188">
        <v>3</v>
      </c>
      <c r="B128" s="189" t="s">
        <v>680</v>
      </c>
      <c r="C128" s="225" t="s">
        <v>28</v>
      </c>
      <c r="D128" s="226">
        <v>4</v>
      </c>
      <c r="E128" s="225">
        <v>3</v>
      </c>
      <c r="F128" s="227">
        <v>3000</v>
      </c>
      <c r="G128" s="227">
        <f t="shared" si="58"/>
        <v>36000</v>
      </c>
      <c r="H128" s="268">
        <f t="shared" si="46"/>
        <v>61.033500610335004</v>
      </c>
      <c r="I128" s="642">
        <f t="shared" si="60"/>
        <v>1080</v>
      </c>
      <c r="J128" s="642">
        <f t="shared" si="61"/>
        <v>1400</v>
      </c>
      <c r="K128" s="642">
        <f t="shared" si="62"/>
        <v>9000</v>
      </c>
    </row>
    <row r="129" spans="1:11" x14ac:dyDescent="0.25">
      <c r="A129" s="188">
        <v>4</v>
      </c>
      <c r="B129" s="189" t="s">
        <v>681</v>
      </c>
      <c r="C129" s="225" t="s">
        <v>28</v>
      </c>
      <c r="D129" s="226">
        <v>4</v>
      </c>
      <c r="E129" s="225">
        <v>3</v>
      </c>
      <c r="F129" s="227">
        <v>3000</v>
      </c>
      <c r="G129" s="227">
        <f t="shared" si="58"/>
        <v>36000</v>
      </c>
      <c r="H129" s="268">
        <f t="shared" si="46"/>
        <v>61.033500610335004</v>
      </c>
      <c r="I129" s="642">
        <f t="shared" si="60"/>
        <v>1080</v>
      </c>
      <c r="J129" s="642">
        <f t="shared" si="61"/>
        <v>1400</v>
      </c>
      <c r="K129" s="642">
        <f t="shared" si="62"/>
        <v>9000</v>
      </c>
    </row>
    <row r="130" spans="1:11" x14ac:dyDescent="0.25">
      <c r="A130" s="188">
        <v>5</v>
      </c>
      <c r="B130" s="189" t="s">
        <v>682</v>
      </c>
      <c r="C130" s="225" t="s">
        <v>28</v>
      </c>
      <c r="D130" s="226">
        <v>8</v>
      </c>
      <c r="E130" s="225">
        <v>3</v>
      </c>
      <c r="F130" s="227">
        <v>3000</v>
      </c>
      <c r="G130" s="227">
        <f t="shared" si="58"/>
        <v>72000</v>
      </c>
      <c r="H130" s="268">
        <f t="shared" si="46"/>
        <v>122.06700122067001</v>
      </c>
      <c r="I130" s="642">
        <f t="shared" si="60"/>
        <v>2160</v>
      </c>
      <c r="J130" s="642">
        <f t="shared" si="61"/>
        <v>2800</v>
      </c>
      <c r="K130" s="642">
        <f t="shared" si="62"/>
        <v>9000</v>
      </c>
    </row>
    <row r="131" spans="1:11" x14ac:dyDescent="0.25">
      <c r="A131" s="188">
        <v>6</v>
      </c>
      <c r="B131" s="189" t="s">
        <v>651</v>
      </c>
      <c r="C131" s="225" t="s">
        <v>28</v>
      </c>
      <c r="D131" s="226">
        <v>6</v>
      </c>
      <c r="E131" s="225">
        <v>3</v>
      </c>
      <c r="F131" s="227">
        <v>3000</v>
      </c>
      <c r="G131" s="227">
        <f t="shared" si="58"/>
        <v>54000</v>
      </c>
      <c r="H131" s="268">
        <f t="shared" si="46"/>
        <v>91.550250915502502</v>
      </c>
      <c r="I131" s="642">
        <f t="shared" si="60"/>
        <v>1620</v>
      </c>
      <c r="J131" s="642">
        <f t="shared" si="61"/>
        <v>2100</v>
      </c>
      <c r="K131" s="642">
        <f t="shared" si="62"/>
        <v>9000</v>
      </c>
    </row>
    <row r="132" spans="1:11" x14ac:dyDescent="0.25">
      <c r="A132" s="188">
        <v>7</v>
      </c>
      <c r="B132" s="189" t="s">
        <v>655</v>
      </c>
      <c r="C132" s="225" t="s">
        <v>28</v>
      </c>
      <c r="D132" s="226">
        <v>12</v>
      </c>
      <c r="E132" s="225">
        <v>3</v>
      </c>
      <c r="F132" s="227">
        <v>3000</v>
      </c>
      <c r="G132" s="227">
        <f t="shared" si="58"/>
        <v>108000</v>
      </c>
      <c r="H132" s="268">
        <f t="shared" si="46"/>
        <v>183.100501831005</v>
      </c>
      <c r="I132" s="642">
        <f t="shared" si="60"/>
        <v>3240</v>
      </c>
      <c r="J132" s="642">
        <f t="shared" si="61"/>
        <v>4200</v>
      </c>
      <c r="K132" s="642">
        <f t="shared" si="62"/>
        <v>9000</v>
      </c>
    </row>
    <row r="133" spans="1:11" x14ac:dyDescent="0.25">
      <c r="A133" s="188">
        <v>8</v>
      </c>
      <c r="B133" s="189" t="s">
        <v>660</v>
      </c>
      <c r="C133" s="225" t="s">
        <v>28</v>
      </c>
      <c r="D133" s="226">
        <v>12</v>
      </c>
      <c r="E133" s="225">
        <v>3</v>
      </c>
      <c r="F133" s="227">
        <v>3000</v>
      </c>
      <c r="G133" s="227">
        <f t="shared" si="58"/>
        <v>108000</v>
      </c>
      <c r="H133" s="268">
        <f t="shared" si="46"/>
        <v>183.100501831005</v>
      </c>
      <c r="I133" s="642">
        <f t="shared" si="60"/>
        <v>3240</v>
      </c>
      <c r="J133" s="642">
        <f t="shared" si="61"/>
        <v>4200</v>
      </c>
      <c r="K133" s="642">
        <f t="shared" si="62"/>
        <v>9000</v>
      </c>
    </row>
    <row r="134" spans="1:11" x14ac:dyDescent="0.25">
      <c r="A134" s="188">
        <v>9</v>
      </c>
      <c r="B134" s="189" t="s">
        <v>43</v>
      </c>
      <c r="C134" s="225" t="s">
        <v>28</v>
      </c>
      <c r="D134" s="226">
        <v>8</v>
      </c>
      <c r="E134" s="225">
        <v>3</v>
      </c>
      <c r="F134" s="227">
        <v>3000</v>
      </c>
      <c r="G134" s="227">
        <f t="shared" si="58"/>
        <v>72000</v>
      </c>
      <c r="H134" s="268">
        <f t="shared" si="46"/>
        <v>122.06700122067001</v>
      </c>
      <c r="I134" s="642">
        <f t="shared" si="60"/>
        <v>2160</v>
      </c>
      <c r="J134" s="642">
        <f t="shared" si="61"/>
        <v>2800</v>
      </c>
      <c r="K134" s="642">
        <f t="shared" si="62"/>
        <v>9000</v>
      </c>
    </row>
    <row r="135" spans="1:11" x14ac:dyDescent="0.25">
      <c r="A135" s="188">
        <v>10</v>
      </c>
      <c r="B135" s="189" t="s">
        <v>31</v>
      </c>
      <c r="C135" s="225" t="s">
        <v>28</v>
      </c>
      <c r="D135" s="226">
        <v>8</v>
      </c>
      <c r="E135" s="225">
        <v>3</v>
      </c>
      <c r="F135" s="227">
        <v>2000</v>
      </c>
      <c r="G135" s="227">
        <f t="shared" si="58"/>
        <v>48000</v>
      </c>
      <c r="H135" s="268">
        <f t="shared" si="46"/>
        <v>81.378000813780005</v>
      </c>
      <c r="I135" s="642">
        <f t="shared" si="60"/>
        <v>1440</v>
      </c>
      <c r="J135" s="642">
        <f t="shared" si="61"/>
        <v>2800</v>
      </c>
      <c r="K135" s="642">
        <f t="shared" si="62"/>
        <v>6000</v>
      </c>
    </row>
    <row r="136" spans="1:11" ht="16.5" thickBot="1" x14ac:dyDescent="0.3">
      <c r="A136" s="188">
        <v>11</v>
      </c>
      <c r="B136" s="189" t="s">
        <v>44</v>
      </c>
      <c r="C136" s="225" t="s">
        <v>28</v>
      </c>
      <c r="D136" s="226">
        <f>SUM(D126:D135)</f>
        <v>80</v>
      </c>
      <c r="E136" s="225">
        <v>3</v>
      </c>
      <c r="F136" s="227">
        <v>3000</v>
      </c>
      <c r="G136" s="227">
        <f t="shared" si="58"/>
        <v>720000</v>
      </c>
      <c r="H136" s="268">
        <f t="shared" si="46"/>
        <v>1220.6700122067</v>
      </c>
      <c r="I136" s="642">
        <f t="shared" si="60"/>
        <v>21600</v>
      </c>
      <c r="J136" s="642">
        <f t="shared" si="61"/>
        <v>28000</v>
      </c>
      <c r="K136" s="642">
        <f t="shared" si="62"/>
        <v>9000</v>
      </c>
    </row>
    <row r="137" spans="1:11" ht="18.75" thickBot="1" x14ac:dyDescent="0.3">
      <c r="A137" s="341"/>
      <c r="B137" s="342" t="s">
        <v>1399</v>
      </c>
      <c r="C137" s="343"/>
      <c r="D137" s="343"/>
      <c r="E137" s="343"/>
      <c r="F137" s="344"/>
      <c r="G137" s="344">
        <f>SUM(G126:G136)</f>
        <v>1416000</v>
      </c>
      <c r="H137" s="345">
        <f t="shared" si="46"/>
        <v>2400.6510240065099</v>
      </c>
      <c r="I137" s="263">
        <f>SUM(I126:I136)</f>
        <v>42480</v>
      </c>
      <c r="J137" s="263">
        <f>SUM(J126:J136)</f>
        <v>56000</v>
      </c>
      <c r="K137" s="395"/>
    </row>
    <row r="138" spans="1:11" ht="18" x14ac:dyDescent="0.25">
      <c r="A138" s="205"/>
      <c r="B138" s="205" t="s">
        <v>402</v>
      </c>
      <c r="C138" s="205"/>
      <c r="D138" s="205"/>
      <c r="E138" s="205"/>
      <c r="F138" s="205"/>
      <c r="G138" s="205"/>
      <c r="H138" s="234"/>
      <c r="I138" s="394"/>
      <c r="J138" s="395"/>
      <c r="K138" s="395"/>
    </row>
    <row r="139" spans="1:11" x14ac:dyDescent="0.25">
      <c r="A139" s="188">
        <v>1</v>
      </c>
      <c r="B139" s="189" t="s">
        <v>678</v>
      </c>
      <c r="C139" s="225" t="s">
        <v>28</v>
      </c>
      <c r="D139" s="226">
        <v>3</v>
      </c>
      <c r="E139" s="225">
        <v>1</v>
      </c>
      <c r="F139" s="227">
        <v>2500</v>
      </c>
      <c r="G139" s="227">
        <f t="shared" ref="G139:G148" si="63">D139*E139*F139</f>
        <v>7500</v>
      </c>
      <c r="H139" s="268">
        <f t="shared" si="46"/>
        <v>12.715312627153125</v>
      </c>
      <c r="I139" s="642">
        <f t="shared" ref="I139" si="64">G139*0.03</f>
        <v>225</v>
      </c>
      <c r="J139" s="642">
        <f>125*D139</f>
        <v>375</v>
      </c>
      <c r="K139" s="642">
        <f t="shared" ref="K139" si="65">G139/D139</f>
        <v>2500</v>
      </c>
    </row>
    <row r="140" spans="1:11" x14ac:dyDescent="0.25">
      <c r="A140" s="188">
        <v>2</v>
      </c>
      <c r="B140" s="189" t="s">
        <v>636</v>
      </c>
      <c r="C140" s="225" t="s">
        <v>28</v>
      </c>
      <c r="D140" s="226">
        <v>6</v>
      </c>
      <c r="E140" s="225">
        <v>1</v>
      </c>
      <c r="F140" s="227">
        <v>2500</v>
      </c>
      <c r="G140" s="227">
        <f t="shared" si="63"/>
        <v>15000</v>
      </c>
      <c r="H140" s="268">
        <f t="shared" si="46"/>
        <v>25.43062525430625</v>
      </c>
      <c r="I140" s="642">
        <f t="shared" ref="I140:I148" si="66">G140*0.03</f>
        <v>450</v>
      </c>
      <c r="J140" s="642">
        <f t="shared" ref="J140:J146" si="67">125*D140</f>
        <v>750</v>
      </c>
      <c r="K140" s="642">
        <f t="shared" ref="K140:K148" si="68">G140/D140</f>
        <v>2500</v>
      </c>
    </row>
    <row r="141" spans="1:11" x14ac:dyDescent="0.25">
      <c r="A141" s="188">
        <v>3</v>
      </c>
      <c r="B141" s="189" t="s">
        <v>640</v>
      </c>
      <c r="C141" s="225" t="s">
        <v>28</v>
      </c>
      <c r="D141" s="226">
        <v>2</v>
      </c>
      <c r="E141" s="225">
        <v>1</v>
      </c>
      <c r="F141" s="227">
        <v>2500</v>
      </c>
      <c r="G141" s="227">
        <f t="shared" si="63"/>
        <v>5000</v>
      </c>
      <c r="H141" s="268">
        <f t="shared" si="46"/>
        <v>8.47687508476875</v>
      </c>
      <c r="I141" s="642">
        <f t="shared" si="66"/>
        <v>150</v>
      </c>
      <c r="J141" s="642">
        <f t="shared" si="67"/>
        <v>250</v>
      </c>
      <c r="K141" s="642">
        <f t="shared" si="68"/>
        <v>2500</v>
      </c>
    </row>
    <row r="142" spans="1:11" x14ac:dyDescent="0.25">
      <c r="A142" s="188">
        <v>4</v>
      </c>
      <c r="B142" s="189" t="s">
        <v>644</v>
      </c>
      <c r="C142" s="225" t="s">
        <v>28</v>
      </c>
      <c r="D142" s="226">
        <v>2</v>
      </c>
      <c r="E142" s="225">
        <v>1</v>
      </c>
      <c r="F142" s="227">
        <v>2500</v>
      </c>
      <c r="G142" s="227">
        <f t="shared" si="63"/>
        <v>5000</v>
      </c>
      <c r="H142" s="268">
        <f t="shared" si="46"/>
        <v>8.47687508476875</v>
      </c>
      <c r="I142" s="642">
        <f t="shared" si="66"/>
        <v>150</v>
      </c>
      <c r="J142" s="642">
        <f t="shared" si="67"/>
        <v>250</v>
      </c>
      <c r="K142" s="642">
        <f t="shared" si="68"/>
        <v>2500</v>
      </c>
    </row>
    <row r="143" spans="1:11" x14ac:dyDescent="0.25">
      <c r="A143" s="188">
        <v>5</v>
      </c>
      <c r="B143" s="189" t="s">
        <v>648</v>
      </c>
      <c r="C143" s="225" t="s">
        <v>28</v>
      </c>
      <c r="D143" s="226">
        <v>4</v>
      </c>
      <c r="E143" s="225">
        <v>1</v>
      </c>
      <c r="F143" s="227">
        <v>2500</v>
      </c>
      <c r="G143" s="227">
        <f t="shared" si="63"/>
        <v>10000</v>
      </c>
      <c r="H143" s="268">
        <f t="shared" si="46"/>
        <v>16.9537501695375</v>
      </c>
      <c r="I143" s="642">
        <f t="shared" si="66"/>
        <v>300</v>
      </c>
      <c r="J143" s="642">
        <f t="shared" si="67"/>
        <v>500</v>
      </c>
      <c r="K143" s="642">
        <f t="shared" si="68"/>
        <v>2500</v>
      </c>
    </row>
    <row r="144" spans="1:11" x14ac:dyDescent="0.25">
      <c r="A144" s="188">
        <v>6</v>
      </c>
      <c r="B144" s="189" t="s">
        <v>652</v>
      </c>
      <c r="C144" s="225" t="s">
        <v>28</v>
      </c>
      <c r="D144" s="226">
        <v>3</v>
      </c>
      <c r="E144" s="225">
        <v>1</v>
      </c>
      <c r="F144" s="227">
        <v>2500</v>
      </c>
      <c r="G144" s="227">
        <f t="shared" si="63"/>
        <v>7500</v>
      </c>
      <c r="H144" s="268">
        <f t="shared" si="46"/>
        <v>12.715312627153125</v>
      </c>
      <c r="I144" s="642">
        <f t="shared" si="66"/>
        <v>225</v>
      </c>
      <c r="J144" s="642">
        <f t="shared" si="67"/>
        <v>375</v>
      </c>
      <c r="K144" s="642">
        <f t="shared" si="68"/>
        <v>2500</v>
      </c>
    </row>
    <row r="145" spans="1:11" x14ac:dyDescent="0.25">
      <c r="A145" s="188">
        <v>7</v>
      </c>
      <c r="B145" s="189" t="s">
        <v>656</v>
      </c>
      <c r="C145" s="225" t="s">
        <v>28</v>
      </c>
      <c r="D145" s="226">
        <v>6</v>
      </c>
      <c r="E145" s="225">
        <v>1</v>
      </c>
      <c r="F145" s="227">
        <v>2500</v>
      </c>
      <c r="G145" s="227">
        <f t="shared" si="63"/>
        <v>15000</v>
      </c>
      <c r="H145" s="268">
        <f t="shared" si="46"/>
        <v>25.43062525430625</v>
      </c>
      <c r="I145" s="642">
        <f t="shared" si="66"/>
        <v>450</v>
      </c>
      <c r="J145" s="642">
        <f t="shared" si="67"/>
        <v>750</v>
      </c>
      <c r="K145" s="642">
        <f t="shared" si="68"/>
        <v>2500</v>
      </c>
    </row>
    <row r="146" spans="1:11" x14ac:dyDescent="0.25">
      <c r="A146" s="188">
        <v>8</v>
      </c>
      <c r="B146" s="189" t="s">
        <v>659</v>
      </c>
      <c r="C146" s="225" t="s">
        <v>28</v>
      </c>
      <c r="D146" s="226">
        <v>6</v>
      </c>
      <c r="E146" s="225">
        <v>1</v>
      </c>
      <c r="F146" s="227">
        <v>2500</v>
      </c>
      <c r="G146" s="227">
        <f t="shared" si="63"/>
        <v>15000</v>
      </c>
      <c r="H146" s="268">
        <f t="shared" si="46"/>
        <v>25.43062525430625</v>
      </c>
      <c r="I146" s="642">
        <f t="shared" si="66"/>
        <v>450</v>
      </c>
      <c r="J146" s="642">
        <f t="shared" si="67"/>
        <v>750</v>
      </c>
      <c r="K146" s="642">
        <f t="shared" si="68"/>
        <v>2500</v>
      </c>
    </row>
    <row r="147" spans="1:11" x14ac:dyDescent="0.25">
      <c r="A147" s="188">
        <v>15</v>
      </c>
      <c r="B147" s="189" t="s">
        <v>43</v>
      </c>
      <c r="C147" s="225" t="s">
        <v>28</v>
      </c>
      <c r="D147" s="226">
        <v>8</v>
      </c>
      <c r="E147" s="225">
        <v>1</v>
      </c>
      <c r="F147" s="227">
        <v>3000</v>
      </c>
      <c r="G147" s="227">
        <f t="shared" si="63"/>
        <v>24000</v>
      </c>
      <c r="H147" s="268">
        <f t="shared" si="46"/>
        <v>40.689000406890003</v>
      </c>
      <c r="I147" s="642">
        <f t="shared" si="66"/>
        <v>720</v>
      </c>
      <c r="J147" s="642">
        <f>250*D147</f>
        <v>2000</v>
      </c>
      <c r="K147" s="642">
        <f t="shared" si="68"/>
        <v>3000</v>
      </c>
    </row>
    <row r="148" spans="1:11" ht="16.5" thickBot="1" x14ac:dyDescent="0.3">
      <c r="A148" s="188"/>
      <c r="B148" s="189" t="s">
        <v>48</v>
      </c>
      <c r="C148" s="225" t="s">
        <v>28</v>
      </c>
      <c r="D148" s="226">
        <f>SUM(D139:D147)</f>
        <v>40</v>
      </c>
      <c r="E148" s="225">
        <v>1</v>
      </c>
      <c r="F148" s="227">
        <v>3000</v>
      </c>
      <c r="G148" s="227">
        <f t="shared" si="63"/>
        <v>120000</v>
      </c>
      <c r="H148" s="268">
        <f t="shared" si="46"/>
        <v>203.44500203445</v>
      </c>
      <c r="I148" s="642">
        <f t="shared" si="66"/>
        <v>3600</v>
      </c>
      <c r="J148" s="642">
        <f>250*D148</f>
        <v>10000</v>
      </c>
      <c r="K148" s="642">
        <f t="shared" si="68"/>
        <v>3000</v>
      </c>
    </row>
    <row r="149" spans="1:11" ht="18.75" thickBot="1" x14ac:dyDescent="0.3">
      <c r="A149" s="341"/>
      <c r="B149" s="342" t="s">
        <v>1399</v>
      </c>
      <c r="C149" s="343"/>
      <c r="D149" s="343"/>
      <c r="E149" s="343"/>
      <c r="F149" s="344"/>
      <c r="G149" s="344">
        <f>SUM(G139:G148)</f>
        <v>224000</v>
      </c>
      <c r="H149" s="345">
        <f t="shared" si="46"/>
        <v>379.76400379764004</v>
      </c>
      <c r="I149" s="263">
        <f>SUM(I139:I148)</f>
        <v>6720</v>
      </c>
      <c r="J149" s="263">
        <f>SUM(J139:J148)</f>
        <v>16000</v>
      </c>
      <c r="K149" s="395"/>
    </row>
    <row r="150" spans="1:11" ht="19.149999999999999" customHeight="1" thickBot="1" x14ac:dyDescent="0.3">
      <c r="A150" s="780" t="s">
        <v>523</v>
      </c>
      <c r="B150" s="781"/>
      <c r="C150" s="781"/>
      <c r="D150" s="781"/>
      <c r="E150" s="783"/>
      <c r="F150" s="348"/>
      <c r="G150" s="349"/>
      <c r="H150" s="350"/>
      <c r="I150" s="395"/>
      <c r="J150" s="395"/>
      <c r="K150" s="395"/>
    </row>
    <row r="151" spans="1:11" ht="18" x14ac:dyDescent="0.25">
      <c r="A151" s="205"/>
      <c r="B151" s="205" t="s">
        <v>403</v>
      </c>
      <c r="C151" s="205"/>
      <c r="D151" s="205"/>
      <c r="E151" s="205"/>
      <c r="F151" s="205"/>
      <c r="G151" s="205"/>
      <c r="H151" s="234"/>
      <c r="I151" s="234"/>
      <c r="J151" s="234"/>
      <c r="K151" s="234"/>
    </row>
    <row r="152" spans="1:11" x14ac:dyDescent="0.25">
      <c r="A152" s="188">
        <v>1</v>
      </c>
      <c r="B152" s="189" t="s">
        <v>692</v>
      </c>
      <c r="C152" s="225" t="s">
        <v>28</v>
      </c>
      <c r="D152" s="226">
        <v>1</v>
      </c>
      <c r="E152" s="23">
        <v>2</v>
      </c>
      <c r="F152" s="227">
        <v>8000</v>
      </c>
      <c r="G152" s="227">
        <f t="shared" ref="G152:G169" si="69">D152*E152*F152</f>
        <v>16000</v>
      </c>
      <c r="H152" s="268">
        <f t="shared" si="46"/>
        <v>27.126000271260001</v>
      </c>
      <c r="I152" s="642">
        <f t="shared" ref="I152:I168" si="70">G152*0.03</f>
        <v>480</v>
      </c>
      <c r="J152" s="642">
        <f>550*D152</f>
        <v>550</v>
      </c>
      <c r="K152" s="642">
        <f t="shared" ref="K152:K168" si="71">G152/D152</f>
        <v>16000</v>
      </c>
    </row>
    <row r="153" spans="1:11" x14ac:dyDescent="0.25">
      <c r="A153" s="188">
        <v>2</v>
      </c>
      <c r="B153" s="189" t="s">
        <v>672</v>
      </c>
      <c r="C153" s="225" t="s">
        <v>28</v>
      </c>
      <c r="D153" s="226">
        <v>1</v>
      </c>
      <c r="E153" s="23">
        <v>2</v>
      </c>
      <c r="F153" s="227">
        <v>8000</v>
      </c>
      <c r="G153" s="227">
        <f t="shared" si="69"/>
        <v>16000</v>
      </c>
      <c r="H153" s="268">
        <f t="shared" si="46"/>
        <v>27.126000271260001</v>
      </c>
      <c r="I153" s="642">
        <f t="shared" si="70"/>
        <v>480</v>
      </c>
      <c r="J153" s="642">
        <f t="shared" ref="J153:J157" si="72">550*D153</f>
        <v>550</v>
      </c>
      <c r="K153" s="642">
        <f t="shared" si="71"/>
        <v>16000</v>
      </c>
    </row>
    <row r="154" spans="1:11" x14ac:dyDescent="0.25">
      <c r="A154" s="188">
        <v>3</v>
      </c>
      <c r="B154" s="189" t="s">
        <v>673</v>
      </c>
      <c r="C154" s="225" t="s">
        <v>28</v>
      </c>
      <c r="D154" s="226">
        <v>1</v>
      </c>
      <c r="E154" s="23">
        <v>2</v>
      </c>
      <c r="F154" s="227">
        <v>8000</v>
      </c>
      <c r="G154" s="227">
        <f t="shared" si="69"/>
        <v>16000</v>
      </c>
      <c r="H154" s="268">
        <f t="shared" si="46"/>
        <v>27.126000271260001</v>
      </c>
      <c r="I154" s="642">
        <f t="shared" si="70"/>
        <v>480</v>
      </c>
      <c r="J154" s="642">
        <f t="shared" si="72"/>
        <v>550</v>
      </c>
      <c r="K154" s="642">
        <f t="shared" si="71"/>
        <v>16000</v>
      </c>
    </row>
    <row r="155" spans="1:11" x14ac:dyDescent="0.25">
      <c r="A155" s="188">
        <v>4</v>
      </c>
      <c r="B155" s="189" t="s">
        <v>674</v>
      </c>
      <c r="C155" s="225" t="s">
        <v>28</v>
      </c>
      <c r="D155" s="226">
        <v>1</v>
      </c>
      <c r="E155" s="23">
        <v>2</v>
      </c>
      <c r="F155" s="227">
        <v>8000</v>
      </c>
      <c r="G155" s="227">
        <f t="shared" si="69"/>
        <v>16000</v>
      </c>
      <c r="H155" s="268">
        <f t="shared" si="46"/>
        <v>27.126000271260001</v>
      </c>
      <c r="I155" s="642">
        <f t="shared" si="70"/>
        <v>480</v>
      </c>
      <c r="J155" s="642">
        <f t="shared" si="72"/>
        <v>550</v>
      </c>
      <c r="K155" s="642">
        <f t="shared" si="71"/>
        <v>16000</v>
      </c>
    </row>
    <row r="156" spans="1:11" x14ac:dyDescent="0.25">
      <c r="A156" s="188">
        <v>5</v>
      </c>
      <c r="B156" s="189" t="s">
        <v>675</v>
      </c>
      <c r="C156" s="225" t="s">
        <v>28</v>
      </c>
      <c r="D156" s="226">
        <v>1</v>
      </c>
      <c r="E156" s="23">
        <v>2</v>
      </c>
      <c r="F156" s="227">
        <v>8000</v>
      </c>
      <c r="G156" s="227">
        <f t="shared" si="69"/>
        <v>16000</v>
      </c>
      <c r="H156" s="268">
        <f t="shared" si="46"/>
        <v>27.126000271260001</v>
      </c>
      <c r="I156" s="642">
        <f t="shared" si="70"/>
        <v>480</v>
      </c>
      <c r="J156" s="642">
        <f t="shared" si="72"/>
        <v>550</v>
      </c>
      <c r="K156" s="642">
        <f t="shared" si="71"/>
        <v>16000</v>
      </c>
    </row>
    <row r="157" spans="1:11" x14ac:dyDescent="0.25">
      <c r="A157" s="188">
        <v>6</v>
      </c>
      <c r="B157" s="189" t="s">
        <v>676</v>
      </c>
      <c r="C157" s="225" t="s">
        <v>28</v>
      </c>
      <c r="D157" s="226">
        <v>1</v>
      </c>
      <c r="E157" s="23">
        <v>2</v>
      </c>
      <c r="F157" s="227">
        <v>8000</v>
      </c>
      <c r="G157" s="227">
        <f t="shared" si="69"/>
        <v>16000</v>
      </c>
      <c r="H157" s="268">
        <f t="shared" si="46"/>
        <v>27.126000271260001</v>
      </c>
      <c r="I157" s="642">
        <f t="shared" si="70"/>
        <v>480</v>
      </c>
      <c r="J157" s="642">
        <f t="shared" si="72"/>
        <v>550</v>
      </c>
      <c r="K157" s="642">
        <f t="shared" si="71"/>
        <v>16000</v>
      </c>
    </row>
    <row r="158" spans="1:11" x14ac:dyDescent="0.25">
      <c r="A158" s="188">
        <v>7</v>
      </c>
      <c r="B158" s="189" t="s">
        <v>693</v>
      </c>
      <c r="C158" s="225" t="s">
        <v>28</v>
      </c>
      <c r="D158" s="226">
        <v>1</v>
      </c>
      <c r="E158" s="225">
        <v>1</v>
      </c>
      <c r="F158" s="227">
        <v>5000</v>
      </c>
      <c r="G158" s="227">
        <f t="shared" si="69"/>
        <v>5000</v>
      </c>
      <c r="H158" s="268">
        <f t="shared" si="46"/>
        <v>8.47687508476875</v>
      </c>
      <c r="I158" s="642">
        <f t="shared" si="70"/>
        <v>150</v>
      </c>
      <c r="J158" s="642">
        <f>250*D158</f>
        <v>250</v>
      </c>
      <c r="K158" s="642">
        <f t="shared" si="71"/>
        <v>5000</v>
      </c>
    </row>
    <row r="159" spans="1:11" x14ac:dyDescent="0.25">
      <c r="A159" s="188">
        <v>8</v>
      </c>
      <c r="B159" s="189" t="s">
        <v>677</v>
      </c>
      <c r="C159" s="225" t="s">
        <v>28</v>
      </c>
      <c r="D159" s="226">
        <v>1</v>
      </c>
      <c r="E159" s="225">
        <v>2</v>
      </c>
      <c r="F159" s="227">
        <v>8000</v>
      </c>
      <c r="G159" s="227">
        <f t="shared" si="69"/>
        <v>16000</v>
      </c>
      <c r="H159" s="268">
        <f t="shared" ref="H159:H195" si="73">G159/589.84</f>
        <v>27.126000271260001</v>
      </c>
      <c r="I159" s="642">
        <f t="shared" si="70"/>
        <v>480</v>
      </c>
      <c r="J159" s="642">
        <f>550*D159</f>
        <v>550</v>
      </c>
      <c r="K159" s="642">
        <f t="shared" si="71"/>
        <v>16000</v>
      </c>
    </row>
    <row r="160" spans="1:11" x14ac:dyDescent="0.25">
      <c r="A160" s="188">
        <v>9</v>
      </c>
      <c r="B160" s="189" t="s">
        <v>406</v>
      </c>
      <c r="C160" s="225" t="s">
        <v>28</v>
      </c>
      <c r="D160" s="226">
        <v>1</v>
      </c>
      <c r="E160" s="225">
        <v>1</v>
      </c>
      <c r="F160" s="227">
        <v>5000</v>
      </c>
      <c r="G160" s="227">
        <f t="shared" si="69"/>
        <v>5000</v>
      </c>
      <c r="H160" s="268">
        <f t="shared" si="73"/>
        <v>8.47687508476875</v>
      </c>
      <c r="I160" s="642">
        <f t="shared" si="70"/>
        <v>150</v>
      </c>
      <c r="J160" s="642">
        <f t="shared" ref="J160:J162" si="74">550*D160</f>
        <v>550</v>
      </c>
      <c r="K160" s="642">
        <f t="shared" si="71"/>
        <v>5000</v>
      </c>
    </row>
    <row r="161" spans="1:11" x14ac:dyDescent="0.25">
      <c r="A161" s="188">
        <v>10</v>
      </c>
      <c r="B161" s="189" t="s">
        <v>407</v>
      </c>
      <c r="C161" s="225" t="s">
        <v>28</v>
      </c>
      <c r="D161" s="226">
        <v>2</v>
      </c>
      <c r="E161" s="225">
        <v>1</v>
      </c>
      <c r="F161" s="227">
        <v>5000</v>
      </c>
      <c r="G161" s="227">
        <f t="shared" si="69"/>
        <v>10000</v>
      </c>
      <c r="H161" s="268">
        <f t="shared" si="73"/>
        <v>16.9537501695375</v>
      </c>
      <c r="I161" s="642">
        <f t="shared" si="70"/>
        <v>300</v>
      </c>
      <c r="J161" s="642">
        <f t="shared" si="74"/>
        <v>1100</v>
      </c>
      <c r="K161" s="642">
        <f t="shared" si="71"/>
        <v>5000</v>
      </c>
    </row>
    <row r="162" spans="1:11" x14ac:dyDescent="0.25">
      <c r="A162" s="188">
        <v>11</v>
      </c>
      <c r="B162" s="189" t="s">
        <v>408</v>
      </c>
      <c r="C162" s="225" t="s">
        <v>28</v>
      </c>
      <c r="D162" s="226">
        <v>8</v>
      </c>
      <c r="E162" s="225">
        <v>1</v>
      </c>
      <c r="F162" s="227">
        <v>5000</v>
      </c>
      <c r="G162" s="227">
        <f t="shared" si="69"/>
        <v>40000</v>
      </c>
      <c r="H162" s="268">
        <f t="shared" si="73"/>
        <v>67.81500067815</v>
      </c>
      <c r="I162" s="642">
        <f t="shared" si="70"/>
        <v>1200</v>
      </c>
      <c r="J162" s="642">
        <f t="shared" si="74"/>
        <v>4400</v>
      </c>
      <c r="K162" s="642">
        <f t="shared" si="71"/>
        <v>5000</v>
      </c>
    </row>
    <row r="163" spans="1:11" x14ac:dyDescent="0.25">
      <c r="A163" s="188">
        <v>12</v>
      </c>
      <c r="B163" s="189" t="s">
        <v>425</v>
      </c>
      <c r="C163" s="225" t="s">
        <v>28</v>
      </c>
      <c r="D163" s="226">
        <v>2</v>
      </c>
      <c r="E163" s="225">
        <v>1</v>
      </c>
      <c r="F163" s="227">
        <v>0</v>
      </c>
      <c r="G163" s="227">
        <f t="shared" si="69"/>
        <v>0</v>
      </c>
      <c r="H163" s="268">
        <f t="shared" si="73"/>
        <v>0</v>
      </c>
      <c r="I163" s="642">
        <f t="shared" si="70"/>
        <v>0</v>
      </c>
      <c r="J163" s="642">
        <v>0</v>
      </c>
      <c r="K163" s="642">
        <f t="shared" si="71"/>
        <v>0</v>
      </c>
    </row>
    <row r="164" spans="1:11" x14ac:dyDescent="0.25">
      <c r="A164" s="188">
        <v>13</v>
      </c>
      <c r="B164" s="189" t="s">
        <v>423</v>
      </c>
      <c r="C164" s="225" t="s">
        <v>28</v>
      </c>
      <c r="D164" s="226">
        <v>1</v>
      </c>
      <c r="E164" s="225">
        <v>1</v>
      </c>
      <c r="F164" s="227">
        <v>5000</v>
      </c>
      <c r="G164" s="227">
        <f t="shared" si="69"/>
        <v>5000</v>
      </c>
      <c r="H164" s="268">
        <f t="shared" si="73"/>
        <v>8.47687508476875</v>
      </c>
      <c r="I164" s="642">
        <f t="shared" si="70"/>
        <v>150</v>
      </c>
      <c r="J164" s="642">
        <f>550*D164</f>
        <v>550</v>
      </c>
      <c r="K164" s="642">
        <f t="shared" si="71"/>
        <v>5000</v>
      </c>
    </row>
    <row r="165" spans="1:11" x14ac:dyDescent="0.25">
      <c r="A165" s="188">
        <v>14</v>
      </c>
      <c r="B165" s="189" t="s">
        <v>424</v>
      </c>
      <c r="C165" s="225" t="s">
        <v>28</v>
      </c>
      <c r="D165" s="226">
        <v>1</v>
      </c>
      <c r="E165" s="225">
        <v>1</v>
      </c>
      <c r="F165" s="227">
        <v>5000</v>
      </c>
      <c r="G165" s="227">
        <f t="shared" si="69"/>
        <v>5000</v>
      </c>
      <c r="H165" s="268">
        <f t="shared" si="73"/>
        <v>8.47687508476875</v>
      </c>
      <c r="I165" s="642">
        <f t="shared" si="70"/>
        <v>150</v>
      </c>
      <c r="J165" s="642">
        <f>1050*D165</f>
        <v>1050</v>
      </c>
      <c r="K165" s="642">
        <f t="shared" si="71"/>
        <v>5000</v>
      </c>
    </row>
    <row r="166" spans="1:11" x14ac:dyDescent="0.25">
      <c r="A166" s="188">
        <v>15</v>
      </c>
      <c r="B166" s="189" t="s">
        <v>409</v>
      </c>
      <c r="C166" s="225" t="s">
        <v>28</v>
      </c>
      <c r="D166" s="226">
        <v>1</v>
      </c>
      <c r="E166" s="225">
        <v>1</v>
      </c>
      <c r="F166" s="227">
        <v>3000</v>
      </c>
      <c r="G166" s="227">
        <f t="shared" si="69"/>
        <v>3000</v>
      </c>
      <c r="H166" s="268">
        <f t="shared" si="73"/>
        <v>5.0861250508612503</v>
      </c>
      <c r="I166" s="642">
        <f t="shared" si="70"/>
        <v>90</v>
      </c>
      <c r="J166" s="642">
        <f>250*D166</f>
        <v>250</v>
      </c>
      <c r="K166" s="642">
        <f t="shared" si="71"/>
        <v>3000</v>
      </c>
    </row>
    <row r="167" spans="1:11" x14ac:dyDescent="0.25">
      <c r="A167" s="188">
        <v>16</v>
      </c>
      <c r="B167" s="189" t="s">
        <v>426</v>
      </c>
      <c r="C167" s="225" t="s">
        <v>28</v>
      </c>
      <c r="D167" s="226">
        <f>SUM(D152:D166)</f>
        <v>24</v>
      </c>
      <c r="E167" s="225">
        <v>1</v>
      </c>
      <c r="F167" s="227">
        <v>5000</v>
      </c>
      <c r="G167" s="227">
        <f t="shared" si="69"/>
        <v>120000</v>
      </c>
      <c r="H167" s="268">
        <f t="shared" si="73"/>
        <v>203.44500203445</v>
      </c>
      <c r="I167" s="642">
        <f t="shared" si="70"/>
        <v>3600</v>
      </c>
      <c r="J167" s="642">
        <f>250*D167</f>
        <v>6000</v>
      </c>
      <c r="K167" s="642">
        <f>G167</f>
        <v>120000</v>
      </c>
    </row>
    <row r="168" spans="1:11" x14ac:dyDescent="0.25">
      <c r="A168" s="188">
        <v>17</v>
      </c>
      <c r="B168" s="189" t="s">
        <v>410</v>
      </c>
      <c r="C168" s="225" t="s">
        <v>28</v>
      </c>
      <c r="D168" s="226">
        <v>7</v>
      </c>
      <c r="E168" s="225">
        <v>2</v>
      </c>
      <c r="F168" s="227">
        <v>1500</v>
      </c>
      <c r="G168" s="227">
        <f t="shared" si="69"/>
        <v>21000</v>
      </c>
      <c r="H168" s="268">
        <f t="shared" si="73"/>
        <v>35.602875356028754</v>
      </c>
      <c r="I168" s="642">
        <f t="shared" si="70"/>
        <v>630</v>
      </c>
      <c r="J168" s="642">
        <f>250*D168</f>
        <v>1750</v>
      </c>
      <c r="K168" s="642">
        <f t="shared" si="71"/>
        <v>3000</v>
      </c>
    </row>
    <row r="169" spans="1:11" ht="16.5" thickBot="1" x14ac:dyDescent="0.3">
      <c r="A169" s="370">
        <v>18</v>
      </c>
      <c r="B169" s="189" t="s">
        <v>432</v>
      </c>
      <c r="C169" s="225" t="s">
        <v>30</v>
      </c>
      <c r="D169" s="226">
        <v>20</v>
      </c>
      <c r="E169" s="225">
        <v>1</v>
      </c>
      <c r="F169" s="227">
        <v>800</v>
      </c>
      <c r="G169" s="227">
        <f t="shared" si="69"/>
        <v>16000</v>
      </c>
      <c r="H169" s="268">
        <f t="shared" si="73"/>
        <v>27.126000271260001</v>
      </c>
      <c r="I169" s="642">
        <v>0</v>
      </c>
      <c r="J169" s="642">
        <v>0</v>
      </c>
      <c r="K169" s="642">
        <v>0</v>
      </c>
    </row>
    <row r="170" spans="1:11" ht="18.75" thickBot="1" x14ac:dyDescent="0.3">
      <c r="A170" s="780" t="s">
        <v>527</v>
      </c>
      <c r="B170" s="781"/>
      <c r="C170" s="781"/>
      <c r="D170" s="781"/>
      <c r="E170" s="783"/>
      <c r="F170" s="348"/>
      <c r="G170" s="349">
        <f>SUM(G152:G169)</f>
        <v>342000</v>
      </c>
      <c r="H170" s="350">
        <f t="shared" si="73"/>
        <v>579.81825579818258</v>
      </c>
      <c r="I170" s="263">
        <f>G170*0.03</f>
        <v>10260</v>
      </c>
      <c r="J170" s="263">
        <f>6400*1</f>
        <v>6400</v>
      </c>
      <c r="K170" s="263"/>
    </row>
    <row r="171" spans="1:11" ht="18" x14ac:dyDescent="0.25">
      <c r="A171" s="231"/>
      <c r="B171" s="234" t="s">
        <v>427</v>
      </c>
      <c r="C171" s="232"/>
      <c r="D171" s="232"/>
      <c r="E171" s="232"/>
      <c r="F171" s="232"/>
      <c r="G171" s="232"/>
      <c r="H171" s="234"/>
      <c r="I171" s="234"/>
      <c r="J171" s="234"/>
      <c r="K171" s="234"/>
    </row>
    <row r="172" spans="1:11" ht="18" x14ac:dyDescent="0.25">
      <c r="A172" s="205"/>
      <c r="B172" s="205" t="s">
        <v>433</v>
      </c>
      <c r="C172" s="205"/>
      <c r="D172" s="205"/>
      <c r="E172" s="205"/>
      <c r="F172" s="205"/>
      <c r="G172" s="205"/>
      <c r="H172" s="234"/>
      <c r="I172" s="234"/>
      <c r="J172" s="234"/>
      <c r="K172" s="234"/>
    </row>
    <row r="173" spans="1:11" x14ac:dyDescent="0.25">
      <c r="A173" s="188">
        <v>1</v>
      </c>
      <c r="B173" s="189" t="s">
        <v>664</v>
      </c>
      <c r="C173" s="225" t="s">
        <v>28</v>
      </c>
      <c r="D173" s="403">
        <v>24</v>
      </c>
      <c r="E173" s="404">
        <v>1</v>
      </c>
      <c r="F173" s="28">
        <f>7500-5000</f>
        <v>2500</v>
      </c>
      <c r="G173" s="227">
        <f t="shared" ref="G173:G184" si="75">D173*E173*F173</f>
        <v>60000</v>
      </c>
      <c r="H173" s="268">
        <f t="shared" si="73"/>
        <v>101.722501017225</v>
      </c>
      <c r="I173" s="642">
        <f t="shared" ref="I173" si="76">G173*0.03</f>
        <v>1800</v>
      </c>
      <c r="J173" s="642">
        <f>125*D173</f>
        <v>3000</v>
      </c>
      <c r="K173" s="642">
        <f t="shared" ref="K173" si="77">G173/D173</f>
        <v>2500</v>
      </c>
    </row>
    <row r="174" spans="1:11" x14ac:dyDescent="0.25">
      <c r="A174" s="188">
        <v>2</v>
      </c>
      <c r="B174" s="189" t="s">
        <v>665</v>
      </c>
      <c r="C174" s="225" t="s">
        <v>28</v>
      </c>
      <c r="D174" s="403">
        <v>33</v>
      </c>
      <c r="E174" s="404">
        <v>1</v>
      </c>
      <c r="F174" s="28">
        <f t="shared" ref="F174:F180" si="78">7500-5000</f>
        <v>2500</v>
      </c>
      <c r="G174" s="227">
        <f t="shared" si="75"/>
        <v>82500</v>
      </c>
      <c r="H174" s="268">
        <f t="shared" si="73"/>
        <v>139.86843889868439</v>
      </c>
      <c r="I174" s="642">
        <f t="shared" ref="I174:I182" si="79">G174*0.03</f>
        <v>2475</v>
      </c>
      <c r="J174" s="642">
        <f t="shared" ref="J174:J181" si="80">125*D174</f>
        <v>4125</v>
      </c>
      <c r="K174" s="642">
        <f t="shared" ref="K174:K182" si="81">G174/D174</f>
        <v>2500</v>
      </c>
    </row>
    <row r="175" spans="1:11" x14ac:dyDescent="0.25">
      <c r="A175" s="188">
        <v>3</v>
      </c>
      <c r="B175" s="189" t="s">
        <v>666</v>
      </c>
      <c r="C175" s="225" t="s">
        <v>28</v>
      </c>
      <c r="D175" s="403">
        <v>17</v>
      </c>
      <c r="E175" s="404">
        <v>1</v>
      </c>
      <c r="F175" s="28">
        <f t="shared" si="78"/>
        <v>2500</v>
      </c>
      <c r="G175" s="227">
        <f t="shared" si="75"/>
        <v>42500</v>
      </c>
      <c r="H175" s="268">
        <f t="shared" si="73"/>
        <v>72.053438220534375</v>
      </c>
      <c r="I175" s="642">
        <f t="shared" si="79"/>
        <v>1275</v>
      </c>
      <c r="J175" s="642">
        <f t="shared" si="80"/>
        <v>2125</v>
      </c>
      <c r="K175" s="642">
        <f t="shared" si="81"/>
        <v>2500</v>
      </c>
    </row>
    <row r="176" spans="1:11" x14ac:dyDescent="0.25">
      <c r="A176" s="188">
        <v>4</v>
      </c>
      <c r="B176" s="189" t="s">
        <v>667</v>
      </c>
      <c r="C176" s="225" t="s">
        <v>28</v>
      </c>
      <c r="D176" s="403">
        <v>22</v>
      </c>
      <c r="E176" s="404">
        <v>1</v>
      </c>
      <c r="F176" s="28">
        <f t="shared" si="78"/>
        <v>2500</v>
      </c>
      <c r="G176" s="227">
        <f t="shared" si="75"/>
        <v>55000</v>
      </c>
      <c r="H176" s="268">
        <f t="shared" si="73"/>
        <v>93.24562593245625</v>
      </c>
      <c r="I176" s="642">
        <f t="shared" si="79"/>
        <v>1650</v>
      </c>
      <c r="J176" s="642">
        <f t="shared" si="80"/>
        <v>2750</v>
      </c>
      <c r="K176" s="642">
        <f t="shared" si="81"/>
        <v>2500</v>
      </c>
    </row>
    <row r="177" spans="1:39" x14ac:dyDescent="0.25">
      <c r="A177" s="188">
        <v>5</v>
      </c>
      <c r="B177" s="189" t="s">
        <v>668</v>
      </c>
      <c r="C177" s="225" t="s">
        <v>28</v>
      </c>
      <c r="D177" s="403">
        <v>32</v>
      </c>
      <c r="E177" s="404">
        <v>1</v>
      </c>
      <c r="F177" s="28">
        <f t="shared" si="78"/>
        <v>2500</v>
      </c>
      <c r="G177" s="227">
        <f t="shared" si="75"/>
        <v>80000</v>
      </c>
      <c r="H177" s="268">
        <f t="shared" si="73"/>
        <v>135.6300013563</v>
      </c>
      <c r="I177" s="642">
        <f t="shared" si="79"/>
        <v>2400</v>
      </c>
      <c r="J177" s="642">
        <f t="shared" si="80"/>
        <v>4000</v>
      </c>
      <c r="K177" s="642">
        <f t="shared" si="81"/>
        <v>2500</v>
      </c>
    </row>
    <row r="178" spans="1:39" x14ac:dyDescent="0.25">
      <c r="A178" s="188">
        <v>6</v>
      </c>
      <c r="B178" s="189" t="s">
        <v>669</v>
      </c>
      <c r="C178" s="225" t="s">
        <v>28</v>
      </c>
      <c r="D178" s="403">
        <v>27</v>
      </c>
      <c r="E178" s="404">
        <v>1</v>
      </c>
      <c r="F178" s="28">
        <f t="shared" si="78"/>
        <v>2500</v>
      </c>
      <c r="G178" s="227">
        <f t="shared" si="75"/>
        <v>67500</v>
      </c>
      <c r="H178" s="268">
        <f t="shared" si="73"/>
        <v>114.43781364437812</v>
      </c>
      <c r="I178" s="642">
        <f t="shared" si="79"/>
        <v>2025</v>
      </c>
      <c r="J178" s="642">
        <f t="shared" si="80"/>
        <v>3375</v>
      </c>
      <c r="K178" s="642">
        <f t="shared" si="81"/>
        <v>2500</v>
      </c>
    </row>
    <row r="179" spans="1:39" x14ac:dyDescent="0.25">
      <c r="A179" s="188">
        <v>7</v>
      </c>
      <c r="B179" s="189" t="s">
        <v>670</v>
      </c>
      <c r="C179" s="225" t="s">
        <v>28</v>
      </c>
      <c r="D179" s="403">
        <v>20</v>
      </c>
      <c r="E179" s="404">
        <v>1</v>
      </c>
      <c r="F179" s="28">
        <f t="shared" si="78"/>
        <v>2500</v>
      </c>
      <c r="G179" s="227">
        <f t="shared" si="75"/>
        <v>50000</v>
      </c>
      <c r="H179" s="268">
        <f t="shared" si="73"/>
        <v>84.7687508476875</v>
      </c>
      <c r="I179" s="642">
        <f t="shared" si="79"/>
        <v>1500</v>
      </c>
      <c r="J179" s="642">
        <f t="shared" si="80"/>
        <v>2500</v>
      </c>
      <c r="K179" s="642">
        <f t="shared" si="81"/>
        <v>2500</v>
      </c>
    </row>
    <row r="180" spans="1:39" x14ac:dyDescent="0.25">
      <c r="A180" s="188">
        <v>8</v>
      </c>
      <c r="B180" s="189" t="s">
        <v>671</v>
      </c>
      <c r="C180" s="225" t="s">
        <v>28</v>
      </c>
      <c r="D180" s="403">
        <v>22</v>
      </c>
      <c r="E180" s="404">
        <v>1</v>
      </c>
      <c r="F180" s="28">
        <f t="shared" si="78"/>
        <v>2500</v>
      </c>
      <c r="G180" s="227">
        <f t="shared" si="75"/>
        <v>55000</v>
      </c>
      <c r="H180" s="268">
        <f t="shared" si="73"/>
        <v>93.24562593245625</v>
      </c>
      <c r="I180" s="642">
        <f t="shared" si="79"/>
        <v>1650</v>
      </c>
      <c r="J180" s="642">
        <f t="shared" si="80"/>
        <v>2750</v>
      </c>
      <c r="K180" s="642">
        <f t="shared" si="81"/>
        <v>2500</v>
      </c>
    </row>
    <row r="181" spans="1:39" s="34" customFormat="1" x14ac:dyDescent="0.25">
      <c r="A181" s="188">
        <v>9</v>
      </c>
      <c r="B181" s="189" t="s">
        <v>429</v>
      </c>
      <c r="C181" s="225" t="s">
        <v>28</v>
      </c>
      <c r="D181" s="403">
        <v>8</v>
      </c>
      <c r="E181" s="404">
        <v>1</v>
      </c>
      <c r="F181" s="28">
        <v>3000</v>
      </c>
      <c r="G181" s="227">
        <f t="shared" si="75"/>
        <v>24000</v>
      </c>
      <c r="H181" s="268">
        <f t="shared" si="73"/>
        <v>40.689000406890003</v>
      </c>
      <c r="I181" s="642">
        <f t="shared" si="79"/>
        <v>720</v>
      </c>
      <c r="J181" s="642">
        <f t="shared" si="80"/>
        <v>1000</v>
      </c>
      <c r="K181" s="642">
        <f t="shared" si="81"/>
        <v>3000</v>
      </c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</row>
    <row r="182" spans="1:39" s="34" customFormat="1" x14ac:dyDescent="0.25">
      <c r="A182" s="188">
        <v>10</v>
      </c>
      <c r="B182" s="189" t="s">
        <v>430</v>
      </c>
      <c r="C182" s="225" t="s">
        <v>28</v>
      </c>
      <c r="D182" s="403">
        <v>3</v>
      </c>
      <c r="E182" s="404">
        <v>2</v>
      </c>
      <c r="F182" s="405">
        <v>25000</v>
      </c>
      <c r="G182" s="227">
        <f t="shared" si="75"/>
        <v>150000</v>
      </c>
      <c r="H182" s="268">
        <f t="shared" si="73"/>
        <v>254.3062525430625</v>
      </c>
      <c r="I182" s="642">
        <f t="shared" si="79"/>
        <v>4500</v>
      </c>
      <c r="J182" s="642">
        <f>1050*D182</f>
        <v>3150</v>
      </c>
      <c r="K182" s="642">
        <f t="shared" si="81"/>
        <v>50000</v>
      </c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</row>
    <row r="183" spans="1:39" s="34" customFormat="1" x14ac:dyDescent="0.25">
      <c r="A183" s="188">
        <v>11</v>
      </c>
      <c r="B183" s="189" t="s">
        <v>431</v>
      </c>
      <c r="C183" s="225" t="s">
        <v>30</v>
      </c>
      <c r="D183" s="403">
        <f>8*4</f>
        <v>32</v>
      </c>
      <c r="E183" s="404">
        <v>1</v>
      </c>
      <c r="F183" s="405">
        <v>850</v>
      </c>
      <c r="G183" s="227">
        <f t="shared" si="75"/>
        <v>27200</v>
      </c>
      <c r="H183" s="268">
        <f t="shared" si="73"/>
        <v>46.114200461142005</v>
      </c>
      <c r="I183" s="642">
        <v>0</v>
      </c>
      <c r="J183" s="642">
        <v>0</v>
      </c>
      <c r="K183" s="642">
        <v>0</v>
      </c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</row>
    <row r="184" spans="1:39" s="34" customFormat="1" ht="16.5" thickBot="1" x14ac:dyDescent="0.3">
      <c r="A184" s="188">
        <v>12</v>
      </c>
      <c r="B184" s="189" t="s">
        <v>432</v>
      </c>
      <c r="C184" s="225" t="s">
        <v>30</v>
      </c>
      <c r="D184" s="403">
        <v>20</v>
      </c>
      <c r="E184" s="404">
        <v>1</v>
      </c>
      <c r="F184" s="405">
        <v>800</v>
      </c>
      <c r="G184" s="227">
        <f t="shared" si="75"/>
        <v>16000</v>
      </c>
      <c r="H184" s="268">
        <f t="shared" si="73"/>
        <v>27.126000271260001</v>
      </c>
      <c r="I184" s="642">
        <v>0</v>
      </c>
      <c r="J184" s="642">
        <v>0</v>
      </c>
      <c r="K184" s="642">
        <v>0</v>
      </c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</row>
    <row r="185" spans="1:39" s="34" customFormat="1" ht="18.75" thickBot="1" x14ac:dyDescent="0.3">
      <c r="A185" s="341"/>
      <c r="B185" s="342" t="s">
        <v>1399</v>
      </c>
      <c r="C185" s="343"/>
      <c r="D185" s="343"/>
      <c r="E185" s="343"/>
      <c r="F185" s="344"/>
      <c r="G185" s="344">
        <f>SUM(G173:G184)</f>
        <v>709700</v>
      </c>
      <c r="H185" s="345">
        <f t="shared" si="73"/>
        <v>1203.2076495320764</v>
      </c>
      <c r="I185" s="263">
        <f>SUM(I173:I184)</f>
        <v>19995</v>
      </c>
      <c r="J185" s="263">
        <f>SUM(J173:J184)</f>
        <v>28775</v>
      </c>
      <c r="K185" s="263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</row>
    <row r="186" spans="1:39" s="34" customFormat="1" ht="18" x14ac:dyDescent="0.25">
      <c r="A186" s="205"/>
      <c r="B186" s="205" t="s">
        <v>1389</v>
      </c>
      <c r="C186" s="205"/>
      <c r="D186" s="205"/>
      <c r="E186" s="205"/>
      <c r="F186" s="205"/>
      <c r="G186" s="205"/>
      <c r="H186" s="234"/>
      <c r="I186" s="234"/>
      <c r="J186" s="234"/>
      <c r="K186" s="234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</row>
    <row r="187" spans="1:39" s="48" customFormat="1" ht="16.5" thickBot="1" x14ac:dyDescent="0.3">
      <c r="A187" s="411">
        <v>1</v>
      </c>
      <c r="B187" s="412" t="s">
        <v>1388</v>
      </c>
      <c r="C187" s="404" t="s">
        <v>28</v>
      </c>
      <c r="D187" s="403">
        <v>15</v>
      </c>
      <c r="E187" s="404">
        <v>1</v>
      </c>
      <c r="F187" s="405">
        <v>5000</v>
      </c>
      <c r="G187" s="405">
        <f t="shared" ref="G187:G190" si="82">D187*E187*F187</f>
        <v>75000</v>
      </c>
      <c r="H187" s="415">
        <f t="shared" si="73"/>
        <v>127.15312627153125</v>
      </c>
      <c r="I187" s="642">
        <f>G187*0.03</f>
        <v>2250</v>
      </c>
      <c r="J187" s="642">
        <f>250*D187</f>
        <v>3750</v>
      </c>
      <c r="K187" s="642">
        <f t="shared" ref="K187:K188" si="83">G187/D187</f>
        <v>5000</v>
      </c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</row>
    <row r="188" spans="1:39" s="48" customFormat="1" ht="16.5" thickBot="1" x14ac:dyDescent="0.3">
      <c r="A188" s="188">
        <v>2</v>
      </c>
      <c r="B188" s="189" t="s">
        <v>1474</v>
      </c>
      <c r="C188" s="404" t="s">
        <v>1475</v>
      </c>
      <c r="D188" s="403">
        <v>2</v>
      </c>
      <c r="E188" s="404">
        <v>1</v>
      </c>
      <c r="F188" s="405">
        <v>50000</v>
      </c>
      <c r="G188" s="405">
        <f t="shared" si="82"/>
        <v>100000</v>
      </c>
      <c r="H188" s="409">
        <f t="shared" si="73"/>
        <v>169.537501695375</v>
      </c>
      <c r="I188" s="642">
        <f>G188*0.03</f>
        <v>3000</v>
      </c>
      <c r="J188" s="642">
        <f>1050*D188</f>
        <v>2100</v>
      </c>
      <c r="K188" s="642">
        <f t="shared" si="83"/>
        <v>50000</v>
      </c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</row>
    <row r="189" spans="1:39" ht="18.75" thickBot="1" x14ac:dyDescent="0.3">
      <c r="A189" s="341"/>
      <c r="B189" s="342" t="s">
        <v>1422</v>
      </c>
      <c r="C189" s="343"/>
      <c r="D189" s="343"/>
      <c r="E189" s="343"/>
      <c r="F189" s="344"/>
      <c r="G189" s="344">
        <f>SUM(G187:G188)</f>
        <v>175000</v>
      </c>
      <c r="H189" s="345">
        <f>SUM(H187:H188)</f>
        <v>296.69062796690628</v>
      </c>
      <c r="I189" s="263">
        <f>SUM(I187:I188)</f>
        <v>5250</v>
      </c>
      <c r="J189" s="263">
        <f>SUM(J187:J188)</f>
        <v>5850</v>
      </c>
      <c r="K189" s="642">
        <v>0</v>
      </c>
    </row>
    <row r="190" spans="1:39" s="48" customFormat="1" ht="15" customHeight="1" x14ac:dyDescent="0.25">
      <c r="A190" s="411">
        <v>1</v>
      </c>
      <c r="B190" s="601" t="s">
        <v>1424</v>
      </c>
      <c r="C190" s="404"/>
      <c r="D190" s="403">
        <v>1</v>
      </c>
      <c r="E190" s="404">
        <v>1</v>
      </c>
      <c r="F190" s="444">
        <v>100000</v>
      </c>
      <c r="G190" s="444">
        <f t="shared" si="82"/>
        <v>100000</v>
      </c>
      <c r="H190" s="602">
        <f t="shared" si="73"/>
        <v>169.537501695375</v>
      </c>
      <c r="I190" s="642">
        <f>G190*0.03</f>
        <v>3000</v>
      </c>
      <c r="J190" s="642">
        <f>1600*D190</f>
        <v>1600</v>
      </c>
      <c r="K190" s="263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</row>
    <row r="191" spans="1:39" s="48" customFormat="1" ht="54" x14ac:dyDescent="0.25">
      <c r="A191" s="18"/>
      <c r="B191" s="206" t="s">
        <v>1425</v>
      </c>
      <c r="C191" s="18"/>
      <c r="D191" s="18"/>
      <c r="E191" s="18"/>
      <c r="F191" s="18"/>
      <c r="G191" s="18"/>
      <c r="H191" s="416"/>
      <c r="I191" s="416"/>
      <c r="J191" s="416"/>
      <c r="K191" s="416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</row>
    <row r="192" spans="1:39" s="48" customFormat="1" x14ac:dyDescent="0.25">
      <c r="A192" s="595">
        <v>1</v>
      </c>
      <c r="B192" s="575" t="s">
        <v>1391</v>
      </c>
      <c r="C192" s="575" t="s">
        <v>17</v>
      </c>
      <c r="D192" s="575">
        <v>200</v>
      </c>
      <c r="E192" s="575">
        <v>1</v>
      </c>
      <c r="F192" s="575">
        <v>800</v>
      </c>
      <c r="G192" s="424">
        <f>+D192*E192*F192</f>
        <v>160000</v>
      </c>
      <c r="H192" s="425">
        <f>+G192/589.84</f>
        <v>271.2600027126</v>
      </c>
      <c r="I192" s="11"/>
      <c r="J192" s="12"/>
      <c r="K192" s="1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</row>
    <row r="193" spans="1:42" s="430" customFormat="1" x14ac:dyDescent="0.25">
      <c r="A193" s="578">
        <v>2</v>
      </c>
      <c r="B193" s="577" t="s">
        <v>1339</v>
      </c>
      <c r="C193" s="577" t="s">
        <v>28</v>
      </c>
      <c r="D193" s="577">
        <v>1</v>
      </c>
      <c r="E193" s="577">
        <v>1</v>
      </c>
      <c r="F193" s="577">
        <v>8000</v>
      </c>
      <c r="G193" s="25">
        <f t="shared" ref="G193:G194" si="84">+D193*E193*F193</f>
        <v>8000</v>
      </c>
      <c r="H193" s="435">
        <f t="shared" ref="H193:H194" si="85">+G193/589.84</f>
        <v>13.56300013563</v>
      </c>
      <c r="I193" s="642">
        <f>G193*0.03</f>
        <v>240</v>
      </c>
      <c r="J193" s="642">
        <f>350*D193</f>
        <v>350</v>
      </c>
      <c r="K193" s="642">
        <f t="shared" ref="K193" si="86">G193/D193</f>
        <v>8000</v>
      </c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 s="499"/>
    </row>
    <row r="194" spans="1:42" s="430" customFormat="1" ht="16.5" thickBot="1" x14ac:dyDescent="0.3">
      <c r="A194" s="578">
        <v>3</v>
      </c>
      <c r="B194" s="577" t="s">
        <v>1394</v>
      </c>
      <c r="C194" s="577" t="s">
        <v>28</v>
      </c>
      <c r="D194" s="577">
        <v>1</v>
      </c>
      <c r="E194" s="577">
        <v>1</v>
      </c>
      <c r="F194" s="577">
        <v>8000</v>
      </c>
      <c r="G194" s="25">
        <f t="shared" si="84"/>
        <v>8000</v>
      </c>
      <c r="H194" s="435">
        <f t="shared" si="85"/>
        <v>13.56300013563</v>
      </c>
      <c r="I194" s="642">
        <f>G194*0.03</f>
        <v>240</v>
      </c>
      <c r="J194" s="642">
        <f>350*D194</f>
        <v>350</v>
      </c>
      <c r="K194" s="642">
        <f t="shared" ref="K194" si="87">G194/D194</f>
        <v>8000</v>
      </c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 s="499"/>
    </row>
    <row r="195" spans="1:42" s="34" customFormat="1" ht="18.75" thickBot="1" x14ac:dyDescent="0.3">
      <c r="A195" s="341"/>
      <c r="B195" s="342"/>
      <c r="C195" s="343"/>
      <c r="D195" s="343"/>
      <c r="E195" s="343"/>
      <c r="F195" s="344"/>
      <c r="G195" s="344">
        <f>SUM(G187:G191)</f>
        <v>450000</v>
      </c>
      <c r="H195" s="345">
        <f t="shared" si="73"/>
        <v>762.91875762918755</v>
      </c>
      <c r="I195" s="263">
        <f>SUM(I193:I194)</f>
        <v>480</v>
      </c>
      <c r="J195" s="263">
        <f>SUM(J193:J194)</f>
        <v>700</v>
      </c>
      <c r="K195" s="263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</row>
    <row r="196" spans="1:42" s="34" customFormat="1" ht="24" thickBot="1" x14ac:dyDescent="0.4">
      <c r="A196" s="784" t="s">
        <v>91</v>
      </c>
      <c r="B196" s="785"/>
      <c r="C196" s="785"/>
      <c r="D196" s="785"/>
      <c r="E196" s="786"/>
      <c r="F196" s="351"/>
      <c r="G196" s="249">
        <f>SUM(G195+G190+G189+G185+G170+G149+G137+G125+G100+G77+G66+G59+G52+G45+G38+G31+G24+G17)</f>
        <v>25273700</v>
      </c>
      <c r="H196" s="448">
        <f>SUM(H195+H190+H189+H185+H170+H149+H137+H125+H100+H77+H66+H59+H52+H45+H38+H31+H24+H17)</f>
        <v>42848.399565983986</v>
      </c>
      <c r="I196" s="249">
        <f>I17+I24+I31+I38+I45+I52+I59+I66+I77+I100+I125+I137+I149+I170+I185+I189+I190+I195</f>
        <v>646080</v>
      </c>
      <c r="J196" s="249">
        <f>J17+J24+J31+J38+J45+J52+J59+J66+J77+J100+J125+J137+J149+J170+J185+J189+J190+J195</f>
        <v>487825</v>
      </c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:42" s="34" customFormat="1" x14ac:dyDescent="0.25">
      <c r="A197" s="238"/>
      <c r="B197" s="238"/>
      <c r="C197" s="238"/>
      <c r="D197" s="237"/>
      <c r="E197" s="237"/>
      <c r="F197" s="237"/>
      <c r="G197" s="237"/>
      <c r="H197" s="23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</row>
    <row r="198" spans="1:42" s="34" customFormat="1" x14ac:dyDescent="0.25">
      <c r="A198" s="238" t="s">
        <v>1535</v>
      </c>
      <c r="B198" s="238"/>
      <c r="C198" s="237"/>
      <c r="D198" s="237"/>
      <c r="E198" s="237"/>
      <c r="F198" s="237"/>
      <c r="G198" s="237"/>
      <c r="H198" s="237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 s="34" customFormat="1" x14ac:dyDescent="0.25">
      <c r="A199" s="238" t="s">
        <v>1538</v>
      </c>
      <c r="B199" s="238"/>
      <c r="C199" s="237"/>
      <c r="D199" s="237"/>
      <c r="E199" s="237"/>
      <c r="F199" s="237"/>
      <c r="G199" s="237"/>
      <c r="H199" s="237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 s="34" customFormat="1" x14ac:dyDescent="0.25">
      <c r="A200" s="238"/>
      <c r="B200" s="238"/>
      <c r="C200" s="237"/>
      <c r="D200" s="237"/>
      <c r="E200" s="237"/>
      <c r="F200" s="237"/>
      <c r="G200" s="237"/>
      <c r="H200" s="237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 s="34" customFormat="1" x14ac:dyDescent="0.25">
      <c r="A201" s="238" t="s">
        <v>1331</v>
      </c>
      <c r="B201" s="238"/>
      <c r="C201" s="237"/>
      <c r="D201" s="237"/>
      <c r="E201" s="237"/>
      <c r="F201" s="237"/>
      <c r="G201" s="237"/>
      <c r="H201" s="237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</row>
    <row r="202" spans="1:42" s="34" customFormat="1" x14ac:dyDescent="0.25">
      <c r="A202" s="237"/>
      <c r="B202" s="239"/>
      <c r="C202" s="237"/>
      <c r="D202" s="237"/>
      <c r="E202" s="237"/>
      <c r="F202" s="237"/>
      <c r="G202" s="237"/>
      <c r="H202" s="237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 s="34" customFormat="1" x14ac:dyDescent="0.25">
      <c r="A203" s="240" t="s">
        <v>1537</v>
      </c>
      <c r="B203" s="241"/>
      <c r="C203" s="240"/>
      <c r="D203" s="240"/>
      <c r="E203" s="240"/>
      <c r="F203" s="240"/>
      <c r="G203" s="240"/>
      <c r="H203" s="237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</sheetData>
  <mergeCells count="6">
    <mergeCell ref="A7:F7"/>
    <mergeCell ref="A150:E150"/>
    <mergeCell ref="A196:E196"/>
    <mergeCell ref="A170:E170"/>
    <mergeCell ref="A78:E78"/>
    <mergeCell ref="A100:E10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AF22A"/>
  </sheetPr>
  <dimension ref="A1:AU150"/>
  <sheetViews>
    <sheetView topLeftCell="A41" zoomScale="110" zoomScaleNormal="110" workbookViewId="0">
      <selection activeCell="D49" sqref="D49"/>
    </sheetView>
  </sheetViews>
  <sheetFormatPr baseColWidth="10" defaultColWidth="10.625" defaultRowHeight="15.75" x14ac:dyDescent="0.25"/>
  <cols>
    <col min="1" max="1" width="10.125" style="48" customWidth="1"/>
    <col min="2" max="2" width="65.625" style="48" customWidth="1"/>
    <col min="3" max="3" width="20" style="48" customWidth="1"/>
    <col min="4" max="4" width="16.375" style="48" customWidth="1"/>
    <col min="5" max="5" width="12.375" style="48" customWidth="1"/>
    <col min="6" max="6" width="17" style="48" customWidth="1"/>
    <col min="7" max="8" width="25.5" style="48" customWidth="1"/>
    <col min="9" max="9" width="30.25" customWidth="1"/>
    <col min="10" max="10" width="22" customWidth="1"/>
    <col min="11" max="11" width="13.5" customWidth="1"/>
    <col min="12" max="257" width="8.875" customWidth="1"/>
  </cols>
  <sheetData>
    <row r="1" spans="1:15" x14ac:dyDescent="0.25">
      <c r="A1" s="207" t="s">
        <v>1344</v>
      </c>
      <c r="B1" s="207"/>
      <c r="C1" s="207"/>
      <c r="D1" s="207"/>
      <c r="E1" s="207"/>
      <c r="F1" s="207"/>
      <c r="G1" s="207"/>
      <c r="H1" s="207"/>
      <c r="I1" s="208"/>
      <c r="J1" s="208"/>
      <c r="K1" s="208"/>
      <c r="L1" s="208"/>
      <c r="M1" s="208"/>
      <c r="N1" s="208"/>
      <c r="O1" s="208"/>
    </row>
    <row r="2" spans="1:15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208"/>
      <c r="J2" s="208"/>
      <c r="K2" s="208"/>
      <c r="L2" s="208"/>
      <c r="M2" s="208"/>
      <c r="N2" s="208"/>
      <c r="O2" s="208"/>
    </row>
    <row r="3" spans="1:15" x14ac:dyDescent="0.25">
      <c r="A3" s="207" t="s">
        <v>1520</v>
      </c>
      <c r="B3" s="207"/>
      <c r="C3" s="207"/>
      <c r="D3" s="207"/>
      <c r="E3" s="207"/>
      <c r="F3" s="207"/>
      <c r="G3" s="207"/>
      <c r="H3" s="207"/>
      <c r="I3" s="208"/>
      <c r="J3" s="208"/>
      <c r="K3" s="208"/>
      <c r="L3" s="208"/>
      <c r="M3" s="208"/>
      <c r="N3" s="208"/>
      <c r="O3" s="208"/>
    </row>
    <row r="4" spans="1:15" ht="16.5" thickBot="1" x14ac:dyDescent="0.3">
      <c r="A4" s="207" t="s">
        <v>1</v>
      </c>
      <c r="B4" s="207"/>
      <c r="C4" s="207"/>
      <c r="D4" s="207"/>
      <c r="E4" s="207"/>
      <c r="F4" s="207"/>
      <c r="G4" s="207"/>
      <c r="H4" s="207"/>
      <c r="I4" s="208"/>
      <c r="J4" s="208"/>
      <c r="K4" s="208"/>
      <c r="L4" s="208"/>
      <c r="M4" s="208"/>
      <c r="N4" s="208"/>
      <c r="O4" s="208"/>
    </row>
    <row r="5" spans="1:15" ht="19.5" thickBot="1" x14ac:dyDescent="0.3">
      <c r="A5" s="207" t="s">
        <v>485</v>
      </c>
      <c r="B5" s="207"/>
      <c r="C5" s="264">
        <f>G137</f>
        <v>6532700</v>
      </c>
      <c r="D5" s="340">
        <f>H137</f>
        <v>10778.685745286857</v>
      </c>
      <c r="E5" s="207"/>
      <c r="F5" s="207"/>
      <c r="G5" s="207">
        <f ca="1">G:H</f>
        <v>0</v>
      </c>
      <c r="H5" s="207"/>
      <c r="I5" s="208"/>
      <c r="J5" s="208"/>
      <c r="K5" s="208"/>
      <c r="L5" s="208"/>
      <c r="M5" s="208"/>
      <c r="N5" s="208"/>
      <c r="O5" s="208"/>
    </row>
    <row r="6" spans="1:15" ht="16.5" thickBot="1" x14ac:dyDescent="0.3">
      <c r="A6" s="207" t="s">
        <v>1539</v>
      </c>
      <c r="B6" s="207"/>
      <c r="C6" s="207"/>
      <c r="D6" s="207"/>
      <c r="E6" s="207"/>
      <c r="F6" s="207"/>
      <c r="G6" s="207"/>
      <c r="H6" s="207"/>
      <c r="I6" s="208"/>
      <c r="J6" s="208"/>
      <c r="K6" s="208"/>
      <c r="L6" s="208"/>
      <c r="M6" s="208"/>
      <c r="N6" s="208"/>
      <c r="O6" s="208"/>
    </row>
    <row r="7" spans="1:15" ht="17.25" customHeight="1" thickBot="1" x14ac:dyDescent="0.3">
      <c r="A7" s="773" t="s">
        <v>3</v>
      </c>
      <c r="B7" s="774"/>
      <c r="C7" s="774"/>
      <c r="D7" s="774"/>
      <c r="E7" s="774"/>
      <c r="F7" s="774"/>
      <c r="G7" s="570"/>
      <c r="H7" s="571"/>
      <c r="I7" s="535" t="s">
        <v>4</v>
      </c>
      <c r="J7" s="534"/>
      <c r="K7" s="535"/>
      <c r="L7" s="535"/>
      <c r="M7" s="535"/>
      <c r="N7" s="536"/>
      <c r="O7" s="775" t="s">
        <v>5</v>
      </c>
    </row>
    <row r="8" spans="1:15" ht="61.5" thickBot="1" x14ac:dyDescent="0.3">
      <c r="A8" s="211" t="s">
        <v>1540</v>
      </c>
      <c r="B8" s="212" t="s">
        <v>1533</v>
      </c>
      <c r="C8" s="212" t="s">
        <v>8</v>
      </c>
      <c r="D8" s="213" t="s">
        <v>9</v>
      </c>
      <c r="E8" s="212" t="s">
        <v>10</v>
      </c>
      <c r="F8" s="213" t="s">
        <v>11</v>
      </c>
      <c r="G8" s="214" t="s">
        <v>12</v>
      </c>
      <c r="H8" s="579" t="s">
        <v>1532</v>
      </c>
      <c r="I8" s="695" t="s">
        <v>1613</v>
      </c>
      <c r="J8" s="696" t="s">
        <v>1624</v>
      </c>
      <c r="K8" s="10"/>
      <c r="L8" s="540" t="s">
        <v>14</v>
      </c>
      <c r="M8" s="540" t="s">
        <v>15</v>
      </c>
      <c r="N8" s="541" t="s">
        <v>16</v>
      </c>
      <c r="O8" s="776"/>
    </row>
    <row r="9" spans="1:15" ht="54.75" thickBot="1" x14ac:dyDescent="0.3">
      <c r="A9" s="14"/>
      <c r="B9" s="206" t="s">
        <v>428</v>
      </c>
      <c r="C9" s="589"/>
      <c r="D9" s="589"/>
      <c r="E9" s="589"/>
      <c r="F9" s="589"/>
      <c r="G9" s="538"/>
      <c r="H9" s="539"/>
      <c r="I9" s="10"/>
      <c r="J9" s="10"/>
      <c r="K9" s="10"/>
      <c r="L9" s="215"/>
      <c r="M9" s="215"/>
      <c r="N9" s="216"/>
      <c r="O9" s="582"/>
    </row>
    <row r="10" spans="1:15" ht="16.5" thickBot="1" x14ac:dyDescent="0.3">
      <c r="A10" s="186">
        <v>1</v>
      </c>
      <c r="B10" s="187" t="s">
        <v>701</v>
      </c>
      <c r="C10" s="221" t="s">
        <v>28</v>
      </c>
      <c r="D10" s="222">
        <v>4</v>
      </c>
      <c r="E10" s="221">
        <v>10</v>
      </c>
      <c r="F10" s="223">
        <v>7500</v>
      </c>
      <c r="G10" s="223">
        <f t="shared" ref="G10:G15" si="0">D10*E10*F10</f>
        <v>300000</v>
      </c>
      <c r="H10" s="544">
        <f>G10/589.84</f>
        <v>508.612505086125</v>
      </c>
      <c r="I10" s="689">
        <f>G10*0.03</f>
        <v>9000</v>
      </c>
      <c r="J10" s="642">
        <f>1600*D10</f>
        <v>6400</v>
      </c>
      <c r="K10" s="642">
        <f>G10/D10</f>
        <v>75000</v>
      </c>
      <c r="L10" s="501"/>
      <c r="M10" s="501"/>
      <c r="N10" s="501"/>
      <c r="O10" s="565"/>
    </row>
    <row r="11" spans="1:15" x14ac:dyDescent="0.25">
      <c r="A11" s="188">
        <v>2</v>
      </c>
      <c r="B11" s="189" t="s">
        <v>696</v>
      </c>
      <c r="C11" s="225" t="s">
        <v>28</v>
      </c>
      <c r="D11" s="226">
        <v>2</v>
      </c>
      <c r="E11" s="221">
        <v>10</v>
      </c>
      <c r="F11" s="227">
        <v>3000</v>
      </c>
      <c r="G11" s="227">
        <f t="shared" si="0"/>
        <v>60000</v>
      </c>
      <c r="H11" s="268">
        <f>G11/589.84</f>
        <v>101.722501017225</v>
      </c>
      <c r="I11" s="642">
        <f>G11*0.03</f>
        <v>1800</v>
      </c>
      <c r="J11" s="642">
        <f>1050*D11</f>
        <v>2100</v>
      </c>
      <c r="K11" s="642">
        <f t="shared" ref="K11:K15" si="1">G11/D11</f>
        <v>30000</v>
      </c>
      <c r="L11" s="501"/>
      <c r="M11" s="501"/>
      <c r="N11" s="501"/>
      <c r="O11" s="565"/>
    </row>
    <row r="12" spans="1:15" x14ac:dyDescent="0.25">
      <c r="A12" s="188">
        <v>3</v>
      </c>
      <c r="B12" s="189" t="s">
        <v>697</v>
      </c>
      <c r="C12" s="225" t="s">
        <v>28</v>
      </c>
      <c r="D12" s="226">
        <v>1</v>
      </c>
      <c r="E12" s="221">
        <v>10</v>
      </c>
      <c r="F12" s="227">
        <v>7500</v>
      </c>
      <c r="G12" s="227">
        <f t="shared" si="0"/>
        <v>75000</v>
      </c>
      <c r="H12" s="268">
        <f t="shared" ref="H12:H29" si="2">G12/589.84</f>
        <v>127.15312627153125</v>
      </c>
      <c r="I12" s="642">
        <f t="shared" ref="I12:I15" si="3">G12*0.03</f>
        <v>2250</v>
      </c>
      <c r="J12" s="642">
        <f>1600*D12</f>
        <v>1600</v>
      </c>
      <c r="K12" s="642">
        <f t="shared" si="1"/>
        <v>75000</v>
      </c>
      <c r="L12" s="501"/>
      <c r="M12" s="501"/>
      <c r="N12" s="501"/>
      <c r="O12" s="565"/>
    </row>
    <row r="13" spans="1:15" x14ac:dyDescent="0.25">
      <c r="A13" s="188">
        <v>4</v>
      </c>
      <c r="B13" s="189" t="s">
        <v>1366</v>
      </c>
      <c r="C13" s="225" t="s">
        <v>28</v>
      </c>
      <c r="D13" s="226">
        <v>5</v>
      </c>
      <c r="E13" s="221">
        <v>7</v>
      </c>
      <c r="F13" s="227">
        <v>3000</v>
      </c>
      <c r="G13" s="227">
        <f t="shared" si="0"/>
        <v>105000</v>
      </c>
      <c r="H13" s="268">
        <f t="shared" si="2"/>
        <v>178.01437678014375</v>
      </c>
      <c r="I13" s="642">
        <f t="shared" si="3"/>
        <v>3150</v>
      </c>
      <c r="J13" s="642">
        <f>550*D13</f>
        <v>2750</v>
      </c>
      <c r="K13" s="642">
        <f t="shared" si="1"/>
        <v>21000</v>
      </c>
      <c r="L13" s="501"/>
      <c r="M13" s="501"/>
      <c r="N13" s="501"/>
      <c r="O13" s="565"/>
    </row>
    <row r="14" spans="1:15" x14ac:dyDescent="0.25">
      <c r="A14" s="188">
        <v>5</v>
      </c>
      <c r="B14" s="189" t="s">
        <v>1338</v>
      </c>
      <c r="C14" s="225" t="s">
        <v>28</v>
      </c>
      <c r="D14" s="226">
        <v>1</v>
      </c>
      <c r="E14" s="221">
        <v>10</v>
      </c>
      <c r="F14" s="227">
        <v>8000</v>
      </c>
      <c r="G14" s="227">
        <f t="shared" si="0"/>
        <v>80000</v>
      </c>
      <c r="H14" s="268">
        <f t="shared" si="2"/>
        <v>135.6300013563</v>
      </c>
      <c r="I14" s="642">
        <f t="shared" si="3"/>
        <v>2400</v>
      </c>
      <c r="J14" s="642">
        <f>1600*D14</f>
        <v>1600</v>
      </c>
      <c r="K14" s="642">
        <f t="shared" si="1"/>
        <v>80000</v>
      </c>
      <c r="L14" s="501"/>
      <c r="M14" s="501"/>
      <c r="N14" s="501"/>
      <c r="O14" s="565"/>
    </row>
    <row r="15" spans="1:15" ht="16.5" thickBot="1" x14ac:dyDescent="0.3">
      <c r="A15" s="188">
        <v>6</v>
      </c>
      <c r="B15" s="189" t="s">
        <v>698</v>
      </c>
      <c r="C15" s="225" t="s">
        <v>28</v>
      </c>
      <c r="D15" s="226">
        <v>1</v>
      </c>
      <c r="E15" s="221">
        <v>10</v>
      </c>
      <c r="F15" s="227">
        <v>8000</v>
      </c>
      <c r="G15" s="227">
        <f t="shared" si="0"/>
        <v>80000</v>
      </c>
      <c r="H15" s="268">
        <f t="shared" si="2"/>
        <v>135.6300013563</v>
      </c>
      <c r="I15" s="642">
        <f t="shared" si="3"/>
        <v>2400</v>
      </c>
      <c r="J15" s="642">
        <f>1600*D15</f>
        <v>1600</v>
      </c>
      <c r="K15" s="642">
        <f t="shared" si="1"/>
        <v>80000</v>
      </c>
      <c r="L15" s="501"/>
      <c r="M15" s="501"/>
      <c r="N15" s="501"/>
      <c r="O15" s="565"/>
    </row>
    <row r="16" spans="1:15" ht="18.75" thickBot="1" x14ac:dyDescent="0.3">
      <c r="A16" s="341"/>
      <c r="B16" s="342" t="s">
        <v>1399</v>
      </c>
      <c r="C16" s="343"/>
      <c r="D16" s="343"/>
      <c r="E16" s="343"/>
      <c r="F16" s="344"/>
      <c r="G16" s="344">
        <f>SUM(G10:G15)</f>
        <v>700000</v>
      </c>
      <c r="H16" s="516">
        <f>SUM(H10:H15)</f>
        <v>1186.7625118676251</v>
      </c>
      <c r="I16" s="263">
        <f>SUM(I10:I15)</f>
        <v>21000</v>
      </c>
      <c r="J16" s="263">
        <f>SUM(J10:J15)</f>
        <v>16050</v>
      </c>
      <c r="K16" s="12"/>
      <c r="L16" s="501"/>
      <c r="M16" s="501"/>
      <c r="N16" s="501"/>
      <c r="O16" s="565"/>
    </row>
    <row r="17" spans="1:15" ht="16.5" thickBot="1" x14ac:dyDescent="0.3">
      <c r="A17" s="188">
        <v>1</v>
      </c>
      <c r="B17" s="189" t="s">
        <v>699</v>
      </c>
      <c r="C17" s="225" t="s">
        <v>28</v>
      </c>
      <c r="D17" s="226">
        <v>2</v>
      </c>
      <c r="E17" s="225">
        <v>10</v>
      </c>
      <c r="F17" s="227">
        <v>7500</v>
      </c>
      <c r="G17" s="227">
        <f t="shared" ref="G17:G22" si="4">D17*E17*F17</f>
        <v>150000</v>
      </c>
      <c r="H17" s="544">
        <f t="shared" si="2"/>
        <v>254.3062525430625</v>
      </c>
      <c r="I17" s="689">
        <f t="shared" ref="I17:I22" si="5">G17*0.03</f>
        <v>4500</v>
      </c>
      <c r="J17" s="642">
        <f>1600*D17</f>
        <v>3200</v>
      </c>
      <c r="K17" s="642">
        <f t="shared" ref="K17:K22" si="6">G17/D17</f>
        <v>75000</v>
      </c>
      <c r="L17" s="501"/>
      <c r="M17" s="501"/>
      <c r="N17" s="501"/>
      <c r="O17" s="565"/>
    </row>
    <row r="18" spans="1:15" x14ac:dyDescent="0.25">
      <c r="A18" s="188">
        <v>2</v>
      </c>
      <c r="B18" s="189" t="s">
        <v>700</v>
      </c>
      <c r="C18" s="225" t="s">
        <v>28</v>
      </c>
      <c r="D18" s="226">
        <v>1</v>
      </c>
      <c r="E18" s="225">
        <v>10</v>
      </c>
      <c r="F18" s="227">
        <v>3000</v>
      </c>
      <c r="G18" s="227">
        <f t="shared" si="4"/>
        <v>30000</v>
      </c>
      <c r="H18" s="268">
        <f t="shared" si="2"/>
        <v>50.8612505086125</v>
      </c>
      <c r="I18" s="642">
        <f t="shared" si="5"/>
        <v>900</v>
      </c>
      <c r="J18" s="642">
        <f>1050*D18</f>
        <v>1050</v>
      </c>
      <c r="K18" s="642">
        <f t="shared" si="6"/>
        <v>30000</v>
      </c>
      <c r="L18" s="501"/>
      <c r="M18" s="501"/>
      <c r="N18" s="501"/>
      <c r="O18" s="565"/>
    </row>
    <row r="19" spans="1:15" x14ac:dyDescent="0.25">
      <c r="A19" s="188">
        <v>3</v>
      </c>
      <c r="B19" s="189" t="s">
        <v>702</v>
      </c>
      <c r="C19" s="225" t="s">
        <v>28</v>
      </c>
      <c r="D19" s="226">
        <v>1</v>
      </c>
      <c r="E19" s="225">
        <v>10</v>
      </c>
      <c r="F19" s="227">
        <v>7500</v>
      </c>
      <c r="G19" s="227">
        <f t="shared" si="4"/>
        <v>75000</v>
      </c>
      <c r="H19" s="268">
        <f t="shared" si="2"/>
        <v>127.15312627153125</v>
      </c>
      <c r="I19" s="642">
        <f t="shared" si="5"/>
        <v>2250</v>
      </c>
      <c r="J19" s="642">
        <f>1600*D19</f>
        <v>1600</v>
      </c>
      <c r="K19" s="642">
        <f t="shared" si="6"/>
        <v>75000</v>
      </c>
      <c r="L19" s="501"/>
      <c r="M19" s="501"/>
      <c r="N19" s="501"/>
      <c r="O19" s="565"/>
    </row>
    <row r="20" spans="1:15" x14ac:dyDescent="0.25">
      <c r="A20" s="188">
        <v>4</v>
      </c>
      <c r="B20" s="189" t="s">
        <v>1366</v>
      </c>
      <c r="C20" s="225" t="s">
        <v>28</v>
      </c>
      <c r="D20" s="226">
        <v>4</v>
      </c>
      <c r="E20" s="225">
        <v>7</v>
      </c>
      <c r="F20" s="227">
        <v>3000</v>
      </c>
      <c r="G20" s="227">
        <f t="shared" si="4"/>
        <v>84000</v>
      </c>
      <c r="H20" s="268">
        <f t="shared" si="2"/>
        <v>142.41150142411502</v>
      </c>
      <c r="I20" s="642">
        <f t="shared" si="5"/>
        <v>2520</v>
      </c>
      <c r="J20" s="642">
        <f>550*D20</f>
        <v>2200</v>
      </c>
      <c r="K20" s="642">
        <f t="shared" si="6"/>
        <v>21000</v>
      </c>
      <c r="L20" s="501"/>
      <c r="M20" s="501"/>
      <c r="N20" s="501"/>
      <c r="O20" s="565"/>
    </row>
    <row r="21" spans="1:15" x14ac:dyDescent="0.25">
      <c r="A21" s="188">
        <v>5</v>
      </c>
      <c r="B21" s="189" t="s">
        <v>1338</v>
      </c>
      <c r="C21" s="225" t="s">
        <v>28</v>
      </c>
      <c r="D21" s="226">
        <v>1</v>
      </c>
      <c r="E21" s="225">
        <v>10</v>
      </c>
      <c r="F21" s="227">
        <v>8000</v>
      </c>
      <c r="G21" s="227">
        <f t="shared" si="4"/>
        <v>80000</v>
      </c>
      <c r="H21" s="268">
        <f t="shared" si="2"/>
        <v>135.6300013563</v>
      </c>
      <c r="I21" s="642">
        <f t="shared" si="5"/>
        <v>2400</v>
      </c>
      <c r="J21" s="642">
        <f>1600*D21</f>
        <v>1600</v>
      </c>
      <c r="K21" s="642">
        <f t="shared" si="6"/>
        <v>80000</v>
      </c>
      <c r="L21" s="501"/>
      <c r="M21" s="501"/>
      <c r="N21" s="501"/>
      <c r="O21" s="565"/>
    </row>
    <row r="22" spans="1:15" ht="16.5" thickBot="1" x14ac:dyDescent="0.3">
      <c r="A22" s="188">
        <v>6</v>
      </c>
      <c r="B22" s="189" t="s">
        <v>703</v>
      </c>
      <c r="C22" s="225" t="s">
        <v>28</v>
      </c>
      <c r="D22" s="226">
        <v>1</v>
      </c>
      <c r="E22" s="225">
        <v>10</v>
      </c>
      <c r="F22" s="227">
        <v>8000</v>
      </c>
      <c r="G22" s="227">
        <f t="shared" si="4"/>
        <v>80000</v>
      </c>
      <c r="H22" s="268">
        <f t="shared" si="2"/>
        <v>135.6300013563</v>
      </c>
      <c r="I22" s="642">
        <f t="shared" si="5"/>
        <v>2400</v>
      </c>
      <c r="J22" s="642">
        <f>1600*D22</f>
        <v>1600</v>
      </c>
      <c r="K22" s="642">
        <f t="shared" si="6"/>
        <v>80000</v>
      </c>
      <c r="L22" s="501"/>
      <c r="M22" s="501"/>
      <c r="N22" s="501"/>
      <c r="O22" s="565"/>
    </row>
    <row r="23" spans="1:15" ht="18.75" thickBot="1" x14ac:dyDescent="0.3">
      <c r="A23" s="341"/>
      <c r="B23" s="342" t="s">
        <v>1399</v>
      </c>
      <c r="C23" s="343"/>
      <c r="D23" s="343"/>
      <c r="E23" s="343"/>
      <c r="F23" s="344"/>
      <c r="G23" s="344">
        <f>SUM(G17:G22)</f>
        <v>499000</v>
      </c>
      <c r="H23" s="516">
        <f>SUM(H17:H22)</f>
        <v>845.99213345992132</v>
      </c>
      <c r="I23" s="263">
        <f>SUM(I17:I22)</f>
        <v>14970</v>
      </c>
      <c r="J23" s="263">
        <f>SUM(J17:J22)</f>
        <v>11250</v>
      </c>
      <c r="K23" s="12"/>
      <c r="L23" s="501"/>
      <c r="M23" s="501"/>
      <c r="N23" s="501"/>
      <c r="O23" s="565"/>
    </row>
    <row r="24" spans="1:15" ht="16.5" thickBot="1" x14ac:dyDescent="0.3">
      <c r="A24" s="188">
        <v>1</v>
      </c>
      <c r="B24" s="189" t="s">
        <v>704</v>
      </c>
      <c r="C24" s="225" t="s">
        <v>28</v>
      </c>
      <c r="D24" s="226">
        <v>2</v>
      </c>
      <c r="E24" s="225">
        <v>10</v>
      </c>
      <c r="F24" s="227">
        <v>7500</v>
      </c>
      <c r="G24" s="227">
        <f t="shared" ref="G24:G29" si="7">D24*E24*F24</f>
        <v>150000</v>
      </c>
      <c r="H24" s="544">
        <f t="shared" si="2"/>
        <v>254.3062525430625</v>
      </c>
      <c r="I24" s="642">
        <f t="shared" ref="I24:I29" si="8">G24*0.03</f>
        <v>4500</v>
      </c>
      <c r="J24" s="642">
        <f>1600*D24</f>
        <v>3200</v>
      </c>
      <c r="K24" s="642">
        <f t="shared" ref="K24:K29" si="9">G24/D24</f>
        <v>75000</v>
      </c>
      <c r="L24" s="501"/>
      <c r="M24" s="501"/>
      <c r="N24" s="501"/>
      <c r="O24" s="565"/>
    </row>
    <row r="25" spans="1:15" x14ac:dyDescent="0.25">
      <c r="A25" s="188">
        <v>2</v>
      </c>
      <c r="B25" s="189" t="s">
        <v>705</v>
      </c>
      <c r="C25" s="225" t="s">
        <v>28</v>
      </c>
      <c r="D25" s="226">
        <v>1</v>
      </c>
      <c r="E25" s="225">
        <v>10</v>
      </c>
      <c r="F25" s="227">
        <v>3000</v>
      </c>
      <c r="G25" s="227">
        <f t="shared" si="7"/>
        <v>30000</v>
      </c>
      <c r="H25" s="268">
        <f t="shared" si="2"/>
        <v>50.8612505086125</v>
      </c>
      <c r="I25" s="642">
        <f t="shared" si="8"/>
        <v>900</v>
      </c>
      <c r="J25" s="642">
        <f>1050*D25</f>
        <v>1050</v>
      </c>
      <c r="K25" s="642">
        <f t="shared" si="9"/>
        <v>30000</v>
      </c>
      <c r="L25" s="501"/>
      <c r="M25" s="501"/>
      <c r="N25" s="501"/>
      <c r="O25" s="565"/>
    </row>
    <row r="26" spans="1:15" x14ac:dyDescent="0.25">
      <c r="A26" s="188">
        <v>3</v>
      </c>
      <c r="B26" s="189" t="s">
        <v>706</v>
      </c>
      <c r="C26" s="225" t="s">
        <v>28</v>
      </c>
      <c r="D26" s="226">
        <v>1</v>
      </c>
      <c r="E26" s="225">
        <v>10</v>
      </c>
      <c r="F26" s="227">
        <v>7500</v>
      </c>
      <c r="G26" s="227">
        <f t="shared" si="7"/>
        <v>75000</v>
      </c>
      <c r="H26" s="268">
        <f t="shared" si="2"/>
        <v>127.15312627153125</v>
      </c>
      <c r="I26" s="642">
        <f t="shared" si="8"/>
        <v>2250</v>
      </c>
      <c r="J26" s="642">
        <f>1600*D26</f>
        <v>1600</v>
      </c>
      <c r="K26" s="642">
        <f t="shared" si="9"/>
        <v>75000</v>
      </c>
      <c r="L26" s="501"/>
      <c r="M26" s="501"/>
      <c r="N26" s="501"/>
      <c r="O26" s="565"/>
    </row>
    <row r="27" spans="1:15" x14ac:dyDescent="0.25">
      <c r="A27" s="188">
        <v>4</v>
      </c>
      <c r="B27" s="189" t="s">
        <v>1366</v>
      </c>
      <c r="C27" s="225" t="s">
        <v>28</v>
      </c>
      <c r="D27" s="226">
        <v>7</v>
      </c>
      <c r="E27" s="225">
        <v>7</v>
      </c>
      <c r="F27" s="227">
        <v>3000</v>
      </c>
      <c r="G27" s="227">
        <f t="shared" si="7"/>
        <v>147000</v>
      </c>
      <c r="H27" s="268">
        <f t="shared" si="2"/>
        <v>249.22012749220127</v>
      </c>
      <c r="I27" s="642">
        <f t="shared" si="8"/>
        <v>4410</v>
      </c>
      <c r="J27" s="642">
        <f>550*D27</f>
        <v>3850</v>
      </c>
      <c r="K27" s="642">
        <f t="shared" si="9"/>
        <v>21000</v>
      </c>
      <c r="L27" s="501"/>
      <c r="M27" s="501"/>
      <c r="N27" s="501"/>
      <c r="O27" s="565"/>
    </row>
    <row r="28" spans="1:15" x14ac:dyDescent="0.25">
      <c r="A28" s="188">
        <v>5</v>
      </c>
      <c r="B28" s="189" t="s">
        <v>1338</v>
      </c>
      <c r="C28" s="225" t="s">
        <v>28</v>
      </c>
      <c r="D28" s="226">
        <v>1</v>
      </c>
      <c r="E28" s="225">
        <v>10</v>
      </c>
      <c r="F28" s="227">
        <v>8000</v>
      </c>
      <c r="G28" s="227">
        <f t="shared" si="7"/>
        <v>80000</v>
      </c>
      <c r="H28" s="268">
        <f t="shared" ref="H28" si="10">G28/589.84</f>
        <v>135.6300013563</v>
      </c>
      <c r="I28" s="642">
        <f t="shared" si="8"/>
        <v>2400</v>
      </c>
      <c r="J28" s="642">
        <f>1600*D28</f>
        <v>1600</v>
      </c>
      <c r="K28" s="642">
        <f t="shared" si="9"/>
        <v>80000</v>
      </c>
      <c r="L28" s="501"/>
      <c r="M28" s="501"/>
      <c r="N28" s="501"/>
      <c r="O28" s="565"/>
    </row>
    <row r="29" spans="1:15" ht="16.5" thickBot="1" x14ac:dyDescent="0.3">
      <c r="A29" s="188">
        <v>6</v>
      </c>
      <c r="B29" s="189" t="s">
        <v>707</v>
      </c>
      <c r="C29" s="225" t="s">
        <v>28</v>
      </c>
      <c r="D29" s="226">
        <v>1</v>
      </c>
      <c r="E29" s="225">
        <v>10</v>
      </c>
      <c r="F29" s="227">
        <v>8000</v>
      </c>
      <c r="G29" s="227">
        <f t="shared" si="7"/>
        <v>80000</v>
      </c>
      <c r="H29" s="268">
        <f t="shared" si="2"/>
        <v>135.6300013563</v>
      </c>
      <c r="I29" s="642">
        <f t="shared" si="8"/>
        <v>2400</v>
      </c>
      <c r="J29" s="642">
        <f>1600*D29</f>
        <v>1600</v>
      </c>
      <c r="K29" s="642">
        <f t="shared" si="9"/>
        <v>80000</v>
      </c>
      <c r="L29" s="501"/>
      <c r="M29" s="501"/>
      <c r="N29" s="501"/>
      <c r="O29" s="565"/>
    </row>
    <row r="30" spans="1:15" ht="18.75" thickBot="1" x14ac:dyDescent="0.3">
      <c r="A30" s="341"/>
      <c r="B30" s="342" t="s">
        <v>1399</v>
      </c>
      <c r="C30" s="343"/>
      <c r="D30" s="343"/>
      <c r="E30" s="343"/>
      <c r="F30" s="344"/>
      <c r="G30" s="344">
        <f>SUM(G24:G29)</f>
        <v>562000</v>
      </c>
      <c r="H30" s="516">
        <f>SUM(H24:H29)</f>
        <v>952.80075952800757</v>
      </c>
      <c r="I30" s="263">
        <f>SUM(I24:I29)</f>
        <v>16860</v>
      </c>
      <c r="J30" s="263">
        <f>SUM(J24:J29)</f>
        <v>12900</v>
      </c>
      <c r="K30" s="12"/>
      <c r="L30" s="501"/>
      <c r="M30" s="501"/>
      <c r="N30" s="501"/>
      <c r="O30" s="565"/>
    </row>
    <row r="31" spans="1:15" ht="18.75" thickBot="1" x14ac:dyDescent="0.3">
      <c r="A31" s="242"/>
      <c r="B31" s="243"/>
      <c r="C31" s="242"/>
      <c r="D31" s="242"/>
      <c r="E31" s="242"/>
      <c r="F31" s="244"/>
      <c r="G31" s="244"/>
      <c r="H31" s="506"/>
      <c r="I31" s="530"/>
      <c r="J31" s="501"/>
      <c r="K31" s="501"/>
      <c r="L31" s="501"/>
      <c r="M31" s="501"/>
      <c r="N31" s="501"/>
      <c r="O31" s="565"/>
    </row>
    <row r="32" spans="1:15" ht="16.5" thickBot="1" x14ac:dyDescent="0.3">
      <c r="A32" s="188">
        <v>1</v>
      </c>
      <c r="B32" s="189" t="s">
        <v>63</v>
      </c>
      <c r="C32" s="225" t="s">
        <v>28</v>
      </c>
      <c r="D32" s="229">
        <v>2</v>
      </c>
      <c r="E32" s="229">
        <v>12</v>
      </c>
      <c r="F32" s="227">
        <v>12500</v>
      </c>
      <c r="G32" s="227">
        <f t="shared" ref="G32:G40" si="11">D32*E32*F32</f>
        <v>300000</v>
      </c>
      <c r="H32" s="544">
        <f t="shared" ref="H32:H40" si="12">G32/589.84</f>
        <v>508.612505086125</v>
      </c>
      <c r="I32" s="642">
        <f>G32*0.03</f>
        <v>9000</v>
      </c>
      <c r="J32" s="642">
        <f>1600*D32</f>
        <v>3200</v>
      </c>
      <c r="K32" s="642">
        <f>G32/D32</f>
        <v>150000</v>
      </c>
      <c r="L32" s="501"/>
      <c r="M32" s="501"/>
      <c r="N32" s="501"/>
      <c r="O32" s="565"/>
    </row>
    <row r="33" spans="1:15" x14ac:dyDescent="0.25">
      <c r="A33" s="188">
        <v>2</v>
      </c>
      <c r="B33" s="189" t="s">
        <v>64</v>
      </c>
      <c r="C33" s="225" t="s">
        <v>28</v>
      </c>
      <c r="D33" s="229">
        <v>1</v>
      </c>
      <c r="E33" s="229">
        <v>10</v>
      </c>
      <c r="F33" s="25">
        <v>10000</v>
      </c>
      <c r="G33" s="227">
        <f t="shared" si="11"/>
        <v>100000</v>
      </c>
      <c r="H33" s="268">
        <f t="shared" si="12"/>
        <v>169.537501695375</v>
      </c>
      <c r="I33" s="642">
        <f t="shared" ref="I33:I37" si="13">G33*0.03</f>
        <v>3000</v>
      </c>
      <c r="J33" s="642">
        <f>1050*D33</f>
        <v>1050</v>
      </c>
      <c r="K33" s="642">
        <f t="shared" ref="K33:K37" si="14">G33/D33</f>
        <v>100000</v>
      </c>
      <c r="L33" s="501"/>
      <c r="M33" s="501"/>
      <c r="N33" s="501"/>
      <c r="O33" s="565"/>
    </row>
    <row r="34" spans="1:15" x14ac:dyDescent="0.25">
      <c r="A34" s="188">
        <v>3</v>
      </c>
      <c r="B34" s="189" t="s">
        <v>708</v>
      </c>
      <c r="C34" s="225" t="s">
        <v>28</v>
      </c>
      <c r="D34" s="229">
        <v>2</v>
      </c>
      <c r="E34" s="229">
        <v>13</v>
      </c>
      <c r="F34" s="25">
        <v>10000</v>
      </c>
      <c r="G34" s="227">
        <f t="shared" si="11"/>
        <v>260000</v>
      </c>
      <c r="H34" s="268">
        <f t="shared" si="12"/>
        <v>440.797504407975</v>
      </c>
      <c r="I34" s="642">
        <f t="shared" si="13"/>
        <v>7800</v>
      </c>
      <c r="J34" s="642">
        <f>1600*D34</f>
        <v>3200</v>
      </c>
      <c r="K34" s="642">
        <f t="shared" si="14"/>
        <v>130000</v>
      </c>
      <c r="L34" s="501"/>
      <c r="M34" s="501"/>
      <c r="N34" s="501"/>
      <c r="O34" s="565"/>
    </row>
    <row r="35" spans="1:15" ht="16.5" thickBot="1" x14ac:dyDescent="0.3">
      <c r="A35" s="188">
        <v>4</v>
      </c>
      <c r="B35" s="189" t="s">
        <v>65</v>
      </c>
      <c r="C35" s="225" t="s">
        <v>28</v>
      </c>
      <c r="D35" s="229">
        <v>1</v>
      </c>
      <c r="E35" s="229">
        <v>13</v>
      </c>
      <c r="F35" s="25">
        <v>10000</v>
      </c>
      <c r="G35" s="227">
        <f t="shared" si="11"/>
        <v>130000</v>
      </c>
      <c r="H35" s="268">
        <f t="shared" si="12"/>
        <v>220.3987522039875</v>
      </c>
      <c r="I35" s="642">
        <f t="shared" si="13"/>
        <v>3900</v>
      </c>
      <c r="J35" s="642">
        <f>550*D35</f>
        <v>550</v>
      </c>
      <c r="K35" s="642">
        <f t="shared" si="14"/>
        <v>130000</v>
      </c>
      <c r="L35" s="501"/>
      <c r="M35" s="501"/>
      <c r="N35" s="501"/>
      <c r="O35" s="565"/>
    </row>
    <row r="36" spans="1:15" ht="16.5" thickBot="1" x14ac:dyDescent="0.3">
      <c r="A36" s="188">
        <v>5</v>
      </c>
      <c r="B36" s="189" t="s">
        <v>66</v>
      </c>
      <c r="C36" s="225" t="s">
        <v>28</v>
      </c>
      <c r="D36" s="229">
        <v>1</v>
      </c>
      <c r="E36" s="229">
        <v>10</v>
      </c>
      <c r="F36" s="25">
        <v>10000</v>
      </c>
      <c r="G36" s="227">
        <f t="shared" si="11"/>
        <v>100000</v>
      </c>
      <c r="H36" s="544">
        <f t="shared" si="12"/>
        <v>169.537501695375</v>
      </c>
      <c r="I36" s="642">
        <f t="shared" si="13"/>
        <v>3000</v>
      </c>
      <c r="J36" s="642">
        <f>1600*D36</f>
        <v>1600</v>
      </c>
      <c r="K36" s="642">
        <f t="shared" si="14"/>
        <v>100000</v>
      </c>
      <c r="L36" s="501"/>
      <c r="M36" s="501"/>
      <c r="N36" s="501"/>
      <c r="O36" s="565"/>
    </row>
    <row r="37" spans="1:15" x14ac:dyDescent="0.25">
      <c r="A37" s="188">
        <v>6</v>
      </c>
      <c r="B37" s="189" t="s">
        <v>709</v>
      </c>
      <c r="C37" s="225" t="s">
        <v>28</v>
      </c>
      <c r="D37" s="229">
        <v>1</v>
      </c>
      <c r="E37" s="229">
        <v>10</v>
      </c>
      <c r="F37" s="25">
        <v>10000</v>
      </c>
      <c r="G37" s="227">
        <f t="shared" si="11"/>
        <v>100000</v>
      </c>
      <c r="H37" s="268">
        <f t="shared" si="12"/>
        <v>169.537501695375</v>
      </c>
      <c r="I37" s="642">
        <f t="shared" si="13"/>
        <v>3000</v>
      </c>
      <c r="J37" s="642">
        <f>1600*D37</f>
        <v>1600</v>
      </c>
      <c r="K37" s="642">
        <f t="shared" si="14"/>
        <v>100000</v>
      </c>
      <c r="L37" s="501"/>
      <c r="M37" s="501"/>
      <c r="N37" s="501"/>
      <c r="O37" s="565"/>
    </row>
    <row r="38" spans="1:15" x14ac:dyDescent="0.25">
      <c r="A38" s="188">
        <v>7</v>
      </c>
      <c r="B38" s="189" t="s">
        <v>67</v>
      </c>
      <c r="C38" s="225" t="s">
        <v>28</v>
      </c>
      <c r="D38" s="229">
        <v>1</v>
      </c>
      <c r="E38" s="229">
        <v>10</v>
      </c>
      <c r="F38" s="25">
        <v>10000</v>
      </c>
      <c r="G38" s="227">
        <f t="shared" si="11"/>
        <v>100000</v>
      </c>
      <c r="H38" s="268">
        <f t="shared" si="12"/>
        <v>169.537501695375</v>
      </c>
      <c r="I38" s="642">
        <f t="shared" ref="I38:I40" si="15">G38*0.03</f>
        <v>3000</v>
      </c>
      <c r="J38" s="642">
        <f t="shared" ref="J38:J39" si="16">1600*D38</f>
        <v>1600</v>
      </c>
      <c r="K38" s="642">
        <f t="shared" ref="K38:K40" si="17">G38/D38</f>
        <v>100000</v>
      </c>
      <c r="L38" s="501"/>
      <c r="M38" s="501"/>
      <c r="N38" s="501"/>
      <c r="O38" s="565"/>
    </row>
    <row r="39" spans="1:15" ht="16.5" thickBot="1" x14ac:dyDescent="0.3">
      <c r="A39" s="188">
        <v>8</v>
      </c>
      <c r="B39" s="189" t="s">
        <v>68</v>
      </c>
      <c r="C39" s="225" t="s">
        <v>28</v>
      </c>
      <c r="D39" s="229">
        <v>0</v>
      </c>
      <c r="E39" s="229">
        <v>10</v>
      </c>
      <c r="F39" s="25">
        <v>10000</v>
      </c>
      <c r="G39" s="227">
        <f t="shared" si="11"/>
        <v>0</v>
      </c>
      <c r="H39" s="268">
        <f t="shared" si="12"/>
        <v>0</v>
      </c>
      <c r="I39" s="642">
        <f t="shared" si="15"/>
        <v>0</v>
      </c>
      <c r="J39" s="642">
        <f t="shared" si="16"/>
        <v>0</v>
      </c>
      <c r="K39" s="642">
        <v>0</v>
      </c>
      <c r="L39" s="501"/>
      <c r="M39" s="501"/>
      <c r="N39" s="501"/>
      <c r="O39" s="565"/>
    </row>
    <row r="40" spans="1:15" ht="16.5" thickBot="1" x14ac:dyDescent="0.3">
      <c r="A40" s="188">
        <v>9</v>
      </c>
      <c r="B40" s="189" t="s">
        <v>710</v>
      </c>
      <c r="C40" s="225" t="s">
        <v>28</v>
      </c>
      <c r="D40" s="229">
        <v>1</v>
      </c>
      <c r="E40" s="229">
        <v>10</v>
      </c>
      <c r="F40" s="227">
        <v>5000</v>
      </c>
      <c r="G40" s="227">
        <f t="shared" si="11"/>
        <v>50000</v>
      </c>
      <c r="H40" s="544">
        <f t="shared" si="12"/>
        <v>84.7687508476875</v>
      </c>
      <c r="I40" s="642">
        <f t="shared" si="15"/>
        <v>1500</v>
      </c>
      <c r="J40" s="642">
        <f>1050*D40</f>
        <v>1050</v>
      </c>
      <c r="K40" s="642">
        <f t="shared" si="17"/>
        <v>50000</v>
      </c>
      <c r="L40" s="501"/>
      <c r="M40" s="501"/>
      <c r="N40" s="501"/>
      <c r="O40" s="565"/>
    </row>
    <row r="41" spans="1:15" ht="18.75" thickBot="1" x14ac:dyDescent="0.3">
      <c r="A41" s="242" t="s">
        <v>522</v>
      </c>
      <c r="B41" s="243"/>
      <c r="C41" s="242"/>
      <c r="D41" s="242"/>
      <c r="E41" s="242"/>
      <c r="F41" s="244"/>
      <c r="G41" s="244">
        <f>SUM(G32:G40)</f>
        <v>1140000</v>
      </c>
      <c r="H41" s="506">
        <f>SUM(H32:H40)</f>
        <v>1932.7275193272744</v>
      </c>
      <c r="I41" s="263">
        <f>SUM(I32:I40)</f>
        <v>34200</v>
      </c>
      <c r="J41" s="263">
        <f>SUM(J32:J40)</f>
        <v>13850</v>
      </c>
      <c r="K41" s="501"/>
      <c r="L41" s="501"/>
      <c r="M41" s="501"/>
      <c r="N41" s="501"/>
      <c r="O41" s="565"/>
    </row>
    <row r="42" spans="1:15" ht="37.15" customHeight="1" thickBot="1" x14ac:dyDescent="0.3">
      <c r="A42" s="787" t="s">
        <v>526</v>
      </c>
      <c r="B42" s="788"/>
      <c r="C42" s="788"/>
      <c r="D42" s="788"/>
      <c r="E42" s="789"/>
      <c r="F42" s="348"/>
      <c r="G42" s="349"/>
      <c r="H42" s="545"/>
      <c r="I42" s="530"/>
      <c r="J42" s="501"/>
      <c r="K42" s="501"/>
      <c r="L42" s="501"/>
      <c r="M42" s="501"/>
      <c r="N42" s="501"/>
      <c r="O42" s="565"/>
    </row>
    <row r="43" spans="1:15" ht="18" x14ac:dyDescent="0.25">
      <c r="A43" s="233"/>
      <c r="B43" s="234" t="s">
        <v>524</v>
      </c>
      <c r="C43" s="234"/>
      <c r="D43" s="234"/>
      <c r="E43" s="234"/>
      <c r="F43" s="234"/>
      <c r="G43" s="234"/>
      <c r="H43" s="599"/>
      <c r="I43" s="530"/>
      <c r="J43" s="501"/>
      <c r="K43" s="501"/>
      <c r="L43" s="501"/>
      <c r="M43" s="501"/>
      <c r="N43" s="501"/>
      <c r="O43" s="565"/>
    </row>
    <row r="44" spans="1:15" ht="18.75" thickBot="1" x14ac:dyDescent="0.3">
      <c r="A44" s="205"/>
      <c r="B44" s="205" t="s">
        <v>451</v>
      </c>
      <c r="C44" s="205"/>
      <c r="D44" s="205"/>
      <c r="E44" s="205"/>
      <c r="F44" s="205"/>
      <c r="G44" s="205"/>
      <c r="H44" s="600"/>
      <c r="I44" s="530"/>
      <c r="J44" s="501"/>
      <c r="K44" s="501"/>
      <c r="L44" s="501"/>
      <c r="M44" s="501"/>
      <c r="N44" s="501"/>
      <c r="O44" s="565"/>
    </row>
    <row r="45" spans="1:15" ht="16.5" thickBot="1" x14ac:dyDescent="0.3">
      <c r="A45" s="22">
        <v>1</v>
      </c>
      <c r="B45" s="26" t="s">
        <v>1293</v>
      </c>
      <c r="C45" s="23" t="s">
        <v>83</v>
      </c>
      <c r="D45" s="23">
        <v>0</v>
      </c>
      <c r="E45" s="23">
        <v>1</v>
      </c>
      <c r="F45" s="25">
        <v>10000</v>
      </c>
      <c r="G45" s="227">
        <f t="shared" ref="G45:G57" si="18">D45*E45*F45</f>
        <v>0</v>
      </c>
      <c r="H45" s="544">
        <f t="shared" ref="H45:H64" si="19">G45/589.84</f>
        <v>0</v>
      </c>
      <c r="I45" s="530"/>
      <c r="J45" s="501"/>
      <c r="K45" s="501"/>
      <c r="L45" s="501"/>
      <c r="M45" s="501"/>
      <c r="N45" s="501"/>
      <c r="O45" s="565"/>
    </row>
    <row r="46" spans="1:15" x14ac:dyDescent="0.25">
      <c r="A46" s="22">
        <v>2</v>
      </c>
      <c r="B46" s="26" t="s">
        <v>1294</v>
      </c>
      <c r="C46" s="23" t="s">
        <v>30</v>
      </c>
      <c r="D46" s="20">
        <f>8*3*10</f>
        <v>240</v>
      </c>
      <c r="E46" s="23">
        <v>1</v>
      </c>
      <c r="F46" s="25">
        <v>850</v>
      </c>
      <c r="G46" s="227">
        <f t="shared" si="18"/>
        <v>204000</v>
      </c>
      <c r="H46" s="268">
        <f t="shared" si="19"/>
        <v>345.85650345856504</v>
      </c>
      <c r="I46" s="530"/>
      <c r="J46" s="501"/>
      <c r="K46" s="501"/>
      <c r="L46" s="501"/>
      <c r="M46" s="501"/>
      <c r="N46" s="501"/>
      <c r="O46" s="565"/>
    </row>
    <row r="47" spans="1:15" x14ac:dyDescent="0.25">
      <c r="A47" s="22">
        <v>3</v>
      </c>
      <c r="B47" s="26" t="s">
        <v>1295</v>
      </c>
      <c r="C47" s="23" t="s">
        <v>83</v>
      </c>
      <c r="D47" s="20">
        <v>0</v>
      </c>
      <c r="E47" s="23">
        <v>1</v>
      </c>
      <c r="F47" s="25">
        <v>10000</v>
      </c>
      <c r="G47" s="227">
        <f t="shared" si="18"/>
        <v>0</v>
      </c>
      <c r="H47" s="268">
        <f t="shared" si="19"/>
        <v>0</v>
      </c>
      <c r="I47" s="530"/>
      <c r="J47" s="501"/>
      <c r="K47" s="501"/>
      <c r="L47" s="501"/>
      <c r="M47" s="501"/>
      <c r="N47" s="501"/>
      <c r="O47" s="565"/>
    </row>
    <row r="48" spans="1:15" ht="16.5" thickBot="1" x14ac:dyDescent="0.3">
      <c r="A48" s="22">
        <v>4</v>
      </c>
      <c r="B48" s="26" t="s">
        <v>1296</v>
      </c>
      <c r="C48" s="23" t="s">
        <v>30</v>
      </c>
      <c r="D48" s="20">
        <f>3*3*10</f>
        <v>90</v>
      </c>
      <c r="E48" s="23">
        <v>1</v>
      </c>
      <c r="F48" s="25">
        <v>850</v>
      </c>
      <c r="G48" s="227">
        <f t="shared" si="18"/>
        <v>76500</v>
      </c>
      <c r="H48" s="268">
        <f t="shared" si="19"/>
        <v>129.69618879696188</v>
      </c>
      <c r="I48" s="530"/>
      <c r="J48" s="501"/>
      <c r="K48" s="501"/>
      <c r="L48" s="501"/>
      <c r="M48" s="501"/>
      <c r="N48" s="501"/>
      <c r="O48" s="565"/>
    </row>
    <row r="49" spans="1:15" ht="16.5" thickBot="1" x14ac:dyDescent="0.3">
      <c r="A49" s="22">
        <v>5</v>
      </c>
      <c r="B49" s="26" t="s">
        <v>1297</v>
      </c>
      <c r="C49" s="23" t="s">
        <v>84</v>
      </c>
      <c r="D49" s="23">
        <v>0</v>
      </c>
      <c r="E49" s="23">
        <v>1</v>
      </c>
      <c r="F49" s="25">
        <v>75000</v>
      </c>
      <c r="G49" s="227">
        <f t="shared" si="18"/>
        <v>0</v>
      </c>
      <c r="H49" s="544">
        <f t="shared" si="19"/>
        <v>0</v>
      </c>
      <c r="I49" s="530"/>
      <c r="J49" s="501"/>
      <c r="K49" s="501"/>
      <c r="L49" s="501"/>
      <c r="M49" s="501"/>
      <c r="N49" s="501"/>
      <c r="O49" s="565"/>
    </row>
    <row r="50" spans="1:15" x14ac:dyDescent="0.25">
      <c r="A50" s="22">
        <v>6</v>
      </c>
      <c r="B50" s="26" t="s">
        <v>1298</v>
      </c>
      <c r="C50" s="23" t="s">
        <v>29</v>
      </c>
      <c r="D50" s="20">
        <v>0</v>
      </c>
      <c r="E50" s="23">
        <v>1</v>
      </c>
      <c r="F50" s="25">
        <v>800</v>
      </c>
      <c r="G50" s="227">
        <f t="shared" si="18"/>
        <v>0</v>
      </c>
      <c r="H50" s="268">
        <f t="shared" si="19"/>
        <v>0</v>
      </c>
      <c r="I50" s="530"/>
      <c r="J50" s="501"/>
      <c r="K50" s="501"/>
      <c r="L50" s="501"/>
      <c r="M50" s="501"/>
      <c r="N50" s="501"/>
      <c r="O50" s="565"/>
    </row>
    <row r="51" spans="1:15" x14ac:dyDescent="0.25">
      <c r="A51" s="22">
        <v>7</v>
      </c>
      <c r="B51" s="26" t="s">
        <v>1350</v>
      </c>
      <c r="C51" s="23" t="s">
        <v>29</v>
      </c>
      <c r="D51" s="20">
        <f>1*100*0.2*10</f>
        <v>200</v>
      </c>
      <c r="E51" s="23">
        <v>1</v>
      </c>
      <c r="F51" s="25">
        <v>800</v>
      </c>
      <c r="G51" s="227">
        <f t="shared" si="18"/>
        <v>160000</v>
      </c>
      <c r="H51" s="268">
        <f t="shared" si="19"/>
        <v>271.2600027126</v>
      </c>
      <c r="I51" s="530"/>
      <c r="J51" s="501"/>
      <c r="K51" s="501"/>
      <c r="L51" s="501"/>
      <c r="M51" s="501"/>
      <c r="N51" s="501"/>
      <c r="O51" s="565"/>
    </row>
    <row r="52" spans="1:15" ht="16.5" thickBot="1" x14ac:dyDescent="0.3">
      <c r="A52" s="22">
        <v>8</v>
      </c>
      <c r="B52" s="26" t="s">
        <v>1460</v>
      </c>
      <c r="C52" s="23" t="s">
        <v>1354</v>
      </c>
      <c r="D52" s="20">
        <v>1</v>
      </c>
      <c r="E52" s="23">
        <v>2</v>
      </c>
      <c r="F52" s="25">
        <v>75000</v>
      </c>
      <c r="G52" s="227">
        <f t="shared" si="18"/>
        <v>150000</v>
      </c>
      <c r="H52" s="268">
        <f t="shared" si="19"/>
        <v>254.3062525430625</v>
      </c>
      <c r="I52" s="530"/>
      <c r="J52" s="530"/>
      <c r="K52" s="530"/>
      <c r="L52" s="501"/>
      <c r="M52" s="501"/>
      <c r="N52" s="501"/>
      <c r="O52" s="565"/>
    </row>
    <row r="53" spans="1:15" ht="16.5" thickBot="1" x14ac:dyDescent="0.3">
      <c r="A53" s="22">
        <v>9</v>
      </c>
      <c r="B53" s="26" t="s">
        <v>1447</v>
      </c>
      <c r="C53" s="23" t="s">
        <v>30</v>
      </c>
      <c r="D53" s="23">
        <v>0</v>
      </c>
      <c r="E53" s="23">
        <v>10</v>
      </c>
      <c r="F53" s="25">
        <v>10000</v>
      </c>
      <c r="G53" s="227">
        <f t="shared" si="18"/>
        <v>0</v>
      </c>
      <c r="H53" s="544">
        <f t="shared" si="19"/>
        <v>0</v>
      </c>
      <c r="I53" s="530"/>
      <c r="J53" s="501"/>
      <c r="K53" s="501"/>
      <c r="L53" s="501"/>
      <c r="M53" s="501"/>
      <c r="N53" s="501"/>
      <c r="O53" s="565"/>
    </row>
    <row r="54" spans="1:15" ht="16.5" thickBot="1" x14ac:dyDescent="0.3">
      <c r="A54" s="22">
        <v>10</v>
      </c>
      <c r="B54" s="26" t="s">
        <v>1347</v>
      </c>
      <c r="C54" s="23" t="s">
        <v>1301</v>
      </c>
      <c r="D54" s="20">
        <f>3*3*10</f>
        <v>90</v>
      </c>
      <c r="E54" s="23">
        <v>1</v>
      </c>
      <c r="F54" s="25">
        <v>1000</v>
      </c>
      <c r="G54" s="227">
        <f t="shared" si="18"/>
        <v>90000</v>
      </c>
      <c r="H54" s="544">
        <f t="shared" si="19"/>
        <v>152.5837515258375</v>
      </c>
      <c r="I54" s="530"/>
      <c r="J54" s="501"/>
      <c r="K54" s="501"/>
      <c r="L54" s="501"/>
      <c r="M54" s="501"/>
      <c r="N54" s="501"/>
      <c r="O54" s="565"/>
    </row>
    <row r="55" spans="1:15" x14ac:dyDescent="0.25">
      <c r="A55" s="22">
        <v>11</v>
      </c>
      <c r="B55" s="26" t="s">
        <v>1300</v>
      </c>
      <c r="C55" s="23" t="s">
        <v>1302</v>
      </c>
      <c r="D55" s="23">
        <v>0</v>
      </c>
      <c r="E55" s="23">
        <v>0</v>
      </c>
      <c r="F55" s="21">
        <v>25000</v>
      </c>
      <c r="G55" s="227">
        <f t="shared" si="18"/>
        <v>0</v>
      </c>
      <c r="H55" s="268">
        <f t="shared" si="19"/>
        <v>0</v>
      </c>
      <c r="I55" s="530"/>
      <c r="J55" s="501"/>
      <c r="K55" s="501"/>
      <c r="L55" s="501"/>
      <c r="M55" s="501"/>
      <c r="N55" s="501"/>
      <c r="O55" s="565"/>
    </row>
    <row r="56" spans="1:15" x14ac:dyDescent="0.25">
      <c r="A56" s="22">
        <v>12</v>
      </c>
      <c r="B56" s="26" t="s">
        <v>266</v>
      </c>
      <c r="C56" s="23" t="s">
        <v>1302</v>
      </c>
      <c r="D56" s="20">
        <v>0</v>
      </c>
      <c r="E56" s="23">
        <v>0</v>
      </c>
      <c r="F56" s="21">
        <v>40000</v>
      </c>
      <c r="G56" s="227">
        <f t="shared" si="18"/>
        <v>0</v>
      </c>
      <c r="H56" s="268">
        <f t="shared" si="19"/>
        <v>0</v>
      </c>
      <c r="I56" s="530"/>
      <c r="J56" s="501"/>
      <c r="K56" s="501"/>
      <c r="L56" s="501"/>
      <c r="M56" s="501"/>
      <c r="N56" s="501"/>
      <c r="O56" s="565"/>
    </row>
    <row r="57" spans="1:15" ht="16.5" thickBot="1" x14ac:dyDescent="0.3">
      <c r="A57" s="22">
        <v>13</v>
      </c>
      <c r="B57" s="26" t="s">
        <v>267</v>
      </c>
      <c r="C57" s="23" t="s">
        <v>1302</v>
      </c>
      <c r="D57" s="20">
        <v>0</v>
      </c>
      <c r="E57" s="23">
        <v>0</v>
      </c>
      <c r="F57" s="21">
        <v>20000</v>
      </c>
      <c r="G57" s="227">
        <f t="shared" si="18"/>
        <v>0</v>
      </c>
      <c r="H57" s="268">
        <f t="shared" si="19"/>
        <v>0</v>
      </c>
      <c r="I57" s="530"/>
      <c r="J57" s="501"/>
      <c r="K57" s="501"/>
      <c r="L57" s="501"/>
      <c r="M57" s="501"/>
      <c r="N57" s="501"/>
      <c r="O57" s="565"/>
    </row>
    <row r="58" spans="1:15" ht="16.5" thickBot="1" x14ac:dyDescent="0.3">
      <c r="A58" s="22">
        <v>14</v>
      </c>
      <c r="B58" s="26" t="s">
        <v>268</v>
      </c>
      <c r="C58" s="23" t="s">
        <v>1302</v>
      </c>
      <c r="D58" s="20">
        <v>0</v>
      </c>
      <c r="E58" s="23">
        <v>0</v>
      </c>
      <c r="F58" s="21">
        <v>50000</v>
      </c>
      <c r="G58" s="227">
        <f t="shared" ref="G58:G64" si="20">D58*E58*F58</f>
        <v>0</v>
      </c>
      <c r="H58" s="544">
        <f t="shared" si="19"/>
        <v>0</v>
      </c>
      <c r="I58" s="530"/>
      <c r="J58" s="501"/>
      <c r="K58" s="501"/>
      <c r="L58" s="501"/>
      <c r="M58" s="501"/>
      <c r="N58" s="501"/>
      <c r="O58" s="565"/>
    </row>
    <row r="59" spans="1:15" x14ac:dyDescent="0.25">
      <c r="A59" s="22">
        <v>15</v>
      </c>
      <c r="B59" s="26" t="s">
        <v>269</v>
      </c>
      <c r="C59" s="23" t="s">
        <v>85</v>
      </c>
      <c r="D59" s="20">
        <v>0</v>
      </c>
      <c r="E59" s="23">
        <v>0</v>
      </c>
      <c r="F59" s="21">
        <v>2250</v>
      </c>
      <c r="G59" s="227">
        <f t="shared" si="20"/>
        <v>0</v>
      </c>
      <c r="H59" s="268">
        <f t="shared" si="19"/>
        <v>0</v>
      </c>
      <c r="I59" s="530"/>
      <c r="J59" s="501"/>
      <c r="K59" s="501"/>
      <c r="L59" s="501"/>
      <c r="M59" s="501"/>
      <c r="N59" s="501"/>
      <c r="O59" s="565"/>
    </row>
    <row r="60" spans="1:15" x14ac:dyDescent="0.25">
      <c r="A60" s="22">
        <v>16</v>
      </c>
      <c r="B60" s="26" t="s">
        <v>87</v>
      </c>
      <c r="C60" s="23" t="s">
        <v>85</v>
      </c>
      <c r="D60" s="20">
        <v>0</v>
      </c>
      <c r="E60" s="23">
        <v>0</v>
      </c>
      <c r="F60" s="21">
        <v>6000</v>
      </c>
      <c r="G60" s="227">
        <f t="shared" si="20"/>
        <v>0</v>
      </c>
      <c r="H60" s="268">
        <f t="shared" si="19"/>
        <v>0</v>
      </c>
      <c r="I60" s="530"/>
      <c r="J60" s="501"/>
      <c r="K60" s="501"/>
      <c r="L60" s="501"/>
      <c r="M60" s="501"/>
      <c r="N60" s="501"/>
      <c r="O60" s="565"/>
    </row>
    <row r="61" spans="1:15" ht="16.5" thickBot="1" x14ac:dyDescent="0.3">
      <c r="A61" s="22">
        <v>17</v>
      </c>
      <c r="B61" s="26" t="s">
        <v>1303</v>
      </c>
      <c r="C61" s="23" t="s">
        <v>85</v>
      </c>
      <c r="D61" s="24">
        <v>0</v>
      </c>
      <c r="E61" s="23">
        <v>0</v>
      </c>
      <c r="F61" s="25">
        <v>800</v>
      </c>
      <c r="G61" s="227">
        <f t="shared" si="20"/>
        <v>0</v>
      </c>
      <c r="H61" s="268">
        <f t="shared" si="19"/>
        <v>0</v>
      </c>
      <c r="I61" s="530"/>
      <c r="J61" s="501"/>
      <c r="K61" s="501"/>
      <c r="L61" s="501"/>
      <c r="M61" s="501"/>
      <c r="N61" s="501"/>
      <c r="O61" s="565"/>
    </row>
    <row r="62" spans="1:15" ht="16.5" thickBot="1" x14ac:dyDescent="0.3">
      <c r="A62" s="22">
        <v>18</v>
      </c>
      <c r="B62" s="26" t="s">
        <v>270</v>
      </c>
      <c r="C62" s="23" t="s">
        <v>17</v>
      </c>
      <c r="D62" s="20">
        <v>20</v>
      </c>
      <c r="E62" s="23">
        <v>10</v>
      </c>
      <c r="F62" s="21">
        <v>800</v>
      </c>
      <c r="G62" s="227">
        <f t="shared" si="20"/>
        <v>160000</v>
      </c>
      <c r="H62" s="544">
        <f t="shared" si="19"/>
        <v>271.2600027126</v>
      </c>
      <c r="I62" s="530"/>
      <c r="J62" s="501"/>
      <c r="K62" s="501"/>
      <c r="L62" s="501"/>
      <c r="M62" s="501"/>
      <c r="N62" s="501"/>
      <c r="O62" s="565"/>
    </row>
    <row r="63" spans="1:15" ht="16.5" thickBot="1" x14ac:dyDescent="0.3">
      <c r="A63" s="22">
        <v>19</v>
      </c>
      <c r="B63" s="26" t="s">
        <v>1304</v>
      </c>
      <c r="C63" s="23" t="s">
        <v>1355</v>
      </c>
      <c r="D63" s="20">
        <v>4</v>
      </c>
      <c r="E63" s="23">
        <v>1</v>
      </c>
      <c r="F63" s="21">
        <v>1500</v>
      </c>
      <c r="G63" s="227">
        <f t="shared" si="20"/>
        <v>6000</v>
      </c>
      <c r="H63" s="544">
        <f t="shared" si="19"/>
        <v>10.172250101722501</v>
      </c>
      <c r="I63" s="530"/>
      <c r="J63" s="501"/>
      <c r="K63" s="501"/>
      <c r="L63" s="501"/>
      <c r="M63" s="501"/>
      <c r="N63" s="501"/>
      <c r="O63" s="565"/>
    </row>
    <row r="64" spans="1:15" ht="16.5" thickBot="1" x14ac:dyDescent="0.3">
      <c r="A64" s="22">
        <v>20</v>
      </c>
      <c r="B64" s="26" t="s">
        <v>265</v>
      </c>
      <c r="C64" s="23" t="s">
        <v>1306</v>
      </c>
      <c r="D64" s="20">
        <v>0</v>
      </c>
      <c r="E64" s="19">
        <v>0</v>
      </c>
      <c r="F64" s="21">
        <v>10000</v>
      </c>
      <c r="G64" s="227">
        <f t="shared" si="20"/>
        <v>0</v>
      </c>
      <c r="H64" s="544">
        <f t="shared" si="19"/>
        <v>0</v>
      </c>
      <c r="I64" s="530"/>
      <c r="J64" s="501"/>
      <c r="K64" s="501"/>
      <c r="L64" s="501"/>
      <c r="M64" s="501"/>
      <c r="N64" s="501"/>
      <c r="O64" s="565"/>
    </row>
    <row r="65" spans="1:15" ht="19.149999999999999" customHeight="1" thickBot="1" x14ac:dyDescent="0.3">
      <c r="A65" s="780" t="s">
        <v>525</v>
      </c>
      <c r="B65" s="781"/>
      <c r="C65" s="781"/>
      <c r="D65" s="781"/>
      <c r="E65" s="782"/>
      <c r="F65" s="348"/>
      <c r="G65" s="349">
        <f>SUM(G45:G64)</f>
        <v>846500</v>
      </c>
      <c r="H65" s="545">
        <f>SUM(H45:H64)</f>
        <v>1435.1349518513493</v>
      </c>
      <c r="I65" s="530"/>
      <c r="J65" s="501"/>
      <c r="K65" s="501"/>
      <c r="L65" s="501"/>
      <c r="M65" s="501"/>
      <c r="N65" s="501"/>
      <c r="O65" s="565"/>
    </row>
    <row r="66" spans="1:15" ht="18" x14ac:dyDescent="0.25">
      <c r="A66" s="233"/>
      <c r="B66" s="234" t="s">
        <v>399</v>
      </c>
      <c r="C66" s="234"/>
      <c r="D66" s="234"/>
      <c r="E66" s="234"/>
      <c r="F66" s="234"/>
      <c r="G66" s="234"/>
      <c r="H66" s="599"/>
      <c r="I66" s="530"/>
      <c r="J66" s="501"/>
      <c r="K66" s="501"/>
      <c r="L66" s="501"/>
      <c r="M66" s="501"/>
      <c r="N66" s="501"/>
      <c r="O66" s="565"/>
    </row>
    <row r="67" spans="1:15" ht="18.75" thickBot="1" x14ac:dyDescent="0.3">
      <c r="A67" s="205"/>
      <c r="B67" s="205" t="s">
        <v>400</v>
      </c>
      <c r="C67" s="205"/>
      <c r="D67" s="205"/>
      <c r="E67" s="205"/>
      <c r="F67" s="205"/>
      <c r="G67" s="205"/>
      <c r="H67" s="600"/>
      <c r="I67" s="530"/>
      <c r="J67" s="501"/>
      <c r="K67" s="501"/>
      <c r="L67" s="501"/>
      <c r="M67" s="501"/>
      <c r="N67" s="501"/>
      <c r="O67" s="565"/>
    </row>
    <row r="68" spans="1:15" ht="16.5" thickBot="1" x14ac:dyDescent="0.3">
      <c r="A68" s="188">
        <v>1</v>
      </c>
      <c r="B68" s="189" t="s">
        <v>711</v>
      </c>
      <c r="C68" s="225" t="s">
        <v>28</v>
      </c>
      <c r="D68" s="226">
        <v>1</v>
      </c>
      <c r="E68" s="226">
        <v>3</v>
      </c>
      <c r="F68" s="227">
        <v>5000</v>
      </c>
      <c r="G68" s="227">
        <f>D68*E68*F68</f>
        <v>15000</v>
      </c>
      <c r="H68" s="544">
        <f t="shared" ref="H68:H84" si="21">G68/589.84</f>
        <v>25.43062525430625</v>
      </c>
      <c r="I68" s="642">
        <f t="shared" ref="I68:I80" si="22">G68*0.03</f>
        <v>450</v>
      </c>
      <c r="J68" s="642">
        <f>4500*D68</f>
        <v>4500</v>
      </c>
      <c r="K68" s="642">
        <f t="shared" ref="K68:K80" si="23">G68/D68</f>
        <v>15000</v>
      </c>
      <c r="L68" s="501"/>
      <c r="M68" s="501"/>
      <c r="N68" s="501"/>
      <c r="O68" s="565"/>
    </row>
    <row r="69" spans="1:15" ht="28.5" x14ac:dyDescent="0.25">
      <c r="A69" s="188">
        <v>2</v>
      </c>
      <c r="B69" s="189" t="s">
        <v>721</v>
      </c>
      <c r="C69" s="225" t="s">
        <v>28</v>
      </c>
      <c r="D69" s="226">
        <v>1</v>
      </c>
      <c r="E69" s="226">
        <v>3</v>
      </c>
      <c r="F69" s="227">
        <v>8000</v>
      </c>
      <c r="G69" s="227">
        <f t="shared" ref="G69:G84" si="24">D69*E69*F69</f>
        <v>24000</v>
      </c>
      <c r="H69" s="268">
        <f t="shared" si="21"/>
        <v>40.689000406890003</v>
      </c>
      <c r="I69" s="642">
        <f t="shared" si="22"/>
        <v>720</v>
      </c>
      <c r="J69" s="642">
        <f>550*D69</f>
        <v>550</v>
      </c>
      <c r="K69" s="642">
        <f t="shared" si="23"/>
        <v>24000</v>
      </c>
      <c r="L69" s="501"/>
      <c r="M69" s="501"/>
      <c r="N69" s="501"/>
      <c r="O69" s="565"/>
    </row>
    <row r="70" spans="1:15" x14ac:dyDescent="0.25">
      <c r="A70" s="188">
        <v>3</v>
      </c>
      <c r="B70" s="189" t="s">
        <v>722</v>
      </c>
      <c r="C70" s="225" t="s">
        <v>28</v>
      </c>
      <c r="D70" s="226">
        <v>1</v>
      </c>
      <c r="E70" s="226">
        <v>3</v>
      </c>
      <c r="F70" s="227">
        <v>8000</v>
      </c>
      <c r="G70" s="227">
        <f t="shared" si="24"/>
        <v>24000</v>
      </c>
      <c r="H70" s="268">
        <f t="shared" si="21"/>
        <v>40.689000406890003</v>
      </c>
      <c r="I70" s="642">
        <f t="shared" si="22"/>
        <v>720</v>
      </c>
      <c r="J70" s="642">
        <f>550*D70</f>
        <v>550</v>
      </c>
      <c r="K70" s="642">
        <f t="shared" si="23"/>
        <v>24000</v>
      </c>
      <c r="L70" s="501"/>
      <c r="M70" s="501"/>
      <c r="N70" s="501"/>
      <c r="O70" s="565"/>
    </row>
    <row r="71" spans="1:15" ht="16.5" thickBot="1" x14ac:dyDescent="0.3">
      <c r="A71" s="188">
        <v>4</v>
      </c>
      <c r="B71" s="189" t="s">
        <v>318</v>
      </c>
      <c r="C71" s="225" t="s">
        <v>28</v>
      </c>
      <c r="D71" s="226">
        <v>1</v>
      </c>
      <c r="E71" s="226">
        <v>3</v>
      </c>
      <c r="F71" s="227">
        <v>5000</v>
      </c>
      <c r="G71" s="227">
        <f t="shared" si="24"/>
        <v>15000</v>
      </c>
      <c r="H71" s="268">
        <f t="shared" si="21"/>
        <v>25.43062525430625</v>
      </c>
      <c r="I71" s="642">
        <f t="shared" si="22"/>
        <v>450</v>
      </c>
      <c r="J71" s="642">
        <f>4500*D71</f>
        <v>4500</v>
      </c>
      <c r="K71" s="642">
        <f t="shared" si="23"/>
        <v>15000</v>
      </c>
      <c r="L71" s="501"/>
      <c r="M71" s="501"/>
      <c r="N71" s="501"/>
      <c r="O71" s="565"/>
    </row>
    <row r="72" spans="1:15" ht="16.5" thickBot="1" x14ac:dyDescent="0.3">
      <c r="A72" s="188">
        <v>5</v>
      </c>
      <c r="B72" s="189" t="s">
        <v>319</v>
      </c>
      <c r="C72" s="225" t="s">
        <v>28</v>
      </c>
      <c r="D72" s="226">
        <v>2</v>
      </c>
      <c r="E72" s="226">
        <v>3</v>
      </c>
      <c r="F72" s="227">
        <v>5000</v>
      </c>
      <c r="G72" s="227">
        <f t="shared" si="24"/>
        <v>30000</v>
      </c>
      <c r="H72" s="544">
        <f t="shared" si="21"/>
        <v>50.8612505086125</v>
      </c>
      <c r="I72" s="642">
        <f t="shared" si="22"/>
        <v>900</v>
      </c>
      <c r="J72" s="642">
        <f t="shared" ref="J72:J76" si="25">4500*D72</f>
        <v>9000</v>
      </c>
      <c r="K72" s="642">
        <f t="shared" si="23"/>
        <v>15000</v>
      </c>
      <c r="L72" s="501"/>
      <c r="M72" s="501"/>
      <c r="N72" s="501"/>
      <c r="O72" s="565"/>
    </row>
    <row r="73" spans="1:15" x14ac:dyDescent="0.25">
      <c r="A73" s="22">
        <v>6</v>
      </c>
      <c r="B73" s="189" t="s">
        <v>1471</v>
      </c>
      <c r="C73" s="225" t="s">
        <v>28</v>
      </c>
      <c r="D73" s="226">
        <v>1</v>
      </c>
      <c r="E73" s="226">
        <v>3</v>
      </c>
      <c r="F73" s="227">
        <v>5000</v>
      </c>
      <c r="G73" s="25">
        <f t="shared" si="24"/>
        <v>15000</v>
      </c>
      <c r="H73" s="268">
        <f t="shared" si="21"/>
        <v>25.43062525430625</v>
      </c>
      <c r="I73" s="642">
        <f t="shared" si="22"/>
        <v>450</v>
      </c>
      <c r="J73" s="642">
        <f t="shared" si="25"/>
        <v>4500</v>
      </c>
      <c r="K73" s="642">
        <f t="shared" si="23"/>
        <v>15000</v>
      </c>
      <c r="L73" s="12"/>
      <c r="M73" s="12"/>
      <c r="N73" s="12"/>
      <c r="O73" s="521"/>
    </row>
    <row r="74" spans="1:15" x14ac:dyDescent="0.25">
      <c r="A74" s="22">
        <v>7</v>
      </c>
      <c r="B74" s="189" t="s">
        <v>1472</v>
      </c>
      <c r="C74" s="225" t="s">
        <v>28</v>
      </c>
      <c r="D74" s="226">
        <v>1</v>
      </c>
      <c r="E74" s="226">
        <v>3</v>
      </c>
      <c r="F74" s="227">
        <v>5000</v>
      </c>
      <c r="G74" s="25">
        <f t="shared" si="24"/>
        <v>15000</v>
      </c>
      <c r="H74" s="268">
        <f t="shared" si="21"/>
        <v>25.43062525430625</v>
      </c>
      <c r="I74" s="642">
        <f t="shared" si="22"/>
        <v>450</v>
      </c>
      <c r="J74" s="642">
        <f t="shared" si="25"/>
        <v>4500</v>
      </c>
      <c r="K74" s="642">
        <f t="shared" si="23"/>
        <v>15000</v>
      </c>
      <c r="L74" s="12"/>
      <c r="M74" s="12"/>
      <c r="N74" s="12"/>
      <c r="O74" s="521"/>
    </row>
    <row r="75" spans="1:15" x14ac:dyDescent="0.25">
      <c r="A75" s="188">
        <v>8</v>
      </c>
      <c r="B75" s="189" t="s">
        <v>320</v>
      </c>
      <c r="C75" s="225" t="s">
        <v>28</v>
      </c>
      <c r="D75" s="226">
        <v>1</v>
      </c>
      <c r="E75" s="226">
        <v>3</v>
      </c>
      <c r="F75" s="227">
        <v>5000</v>
      </c>
      <c r="G75" s="227">
        <f t="shared" si="24"/>
        <v>15000</v>
      </c>
      <c r="H75" s="268">
        <f t="shared" si="21"/>
        <v>25.43062525430625</v>
      </c>
      <c r="I75" s="642">
        <f t="shared" si="22"/>
        <v>450</v>
      </c>
      <c r="J75" s="642">
        <f t="shared" si="25"/>
        <v>4500</v>
      </c>
      <c r="K75" s="642">
        <f t="shared" si="23"/>
        <v>15000</v>
      </c>
      <c r="L75" s="501"/>
      <c r="M75" s="501"/>
      <c r="N75" s="501"/>
      <c r="O75" s="565"/>
    </row>
    <row r="76" spans="1:15" x14ac:dyDescent="0.25">
      <c r="A76" s="188">
        <v>9</v>
      </c>
      <c r="B76" s="189" t="s">
        <v>321</v>
      </c>
      <c r="C76" s="225" t="s">
        <v>28</v>
      </c>
      <c r="D76" s="226">
        <v>1</v>
      </c>
      <c r="E76" s="226">
        <v>3</v>
      </c>
      <c r="F76" s="227">
        <v>5000</v>
      </c>
      <c r="G76" s="227">
        <f t="shared" si="24"/>
        <v>15000</v>
      </c>
      <c r="H76" s="268">
        <f t="shared" si="21"/>
        <v>25.43062525430625</v>
      </c>
      <c r="I76" s="642">
        <f t="shared" si="22"/>
        <v>450</v>
      </c>
      <c r="J76" s="642">
        <f t="shared" si="25"/>
        <v>4500</v>
      </c>
      <c r="K76" s="642">
        <f t="shared" si="23"/>
        <v>15000</v>
      </c>
      <c r="L76" s="501"/>
      <c r="M76" s="501"/>
      <c r="N76" s="501"/>
      <c r="O76" s="565"/>
    </row>
    <row r="77" spans="1:15" ht="16.5" thickBot="1" x14ac:dyDescent="0.3">
      <c r="A77" s="188">
        <v>10</v>
      </c>
      <c r="B77" s="189" t="s">
        <v>1359</v>
      </c>
      <c r="C77" s="225" t="s">
        <v>28</v>
      </c>
      <c r="D77" s="226">
        <v>3</v>
      </c>
      <c r="E77" s="226">
        <v>3</v>
      </c>
      <c r="F77" s="227">
        <v>12500</v>
      </c>
      <c r="G77" s="227">
        <f t="shared" si="24"/>
        <v>112500</v>
      </c>
      <c r="H77" s="268">
        <f t="shared" si="21"/>
        <v>190.72968940729689</v>
      </c>
      <c r="I77" s="642">
        <f t="shared" si="22"/>
        <v>3375</v>
      </c>
      <c r="J77" s="642">
        <f>1050*D77</f>
        <v>3150</v>
      </c>
      <c r="K77" s="642">
        <f t="shared" si="23"/>
        <v>37500</v>
      </c>
      <c r="L77" s="501"/>
      <c r="M77" s="501"/>
      <c r="N77" s="501"/>
      <c r="O77" s="565"/>
    </row>
    <row r="78" spans="1:15" ht="16.5" thickBot="1" x14ac:dyDescent="0.3">
      <c r="A78" s="188">
        <v>11</v>
      </c>
      <c r="B78" s="189" t="s">
        <v>712</v>
      </c>
      <c r="C78" s="225" t="s">
        <v>28</v>
      </c>
      <c r="D78" s="226">
        <v>3</v>
      </c>
      <c r="E78" s="226">
        <v>5</v>
      </c>
      <c r="F78" s="227">
        <v>25000</v>
      </c>
      <c r="G78" s="227">
        <f t="shared" si="24"/>
        <v>375000</v>
      </c>
      <c r="H78" s="544">
        <f t="shared" si="21"/>
        <v>635.76563135765628</v>
      </c>
      <c r="I78" s="642">
        <f t="shared" si="22"/>
        <v>11250</v>
      </c>
      <c r="J78" s="642">
        <f>1900*D78</f>
        <v>5700</v>
      </c>
      <c r="K78" s="642">
        <f t="shared" si="23"/>
        <v>125000</v>
      </c>
      <c r="L78" s="501"/>
      <c r="M78" s="501"/>
      <c r="N78" s="501"/>
      <c r="O78" s="565"/>
    </row>
    <row r="79" spans="1:15" ht="16.5" thickBot="1" x14ac:dyDescent="0.3">
      <c r="A79" s="188">
        <v>12</v>
      </c>
      <c r="B79" s="26" t="s">
        <v>271</v>
      </c>
      <c r="C79" s="23" t="s">
        <v>28</v>
      </c>
      <c r="D79" s="24">
        <v>2</v>
      </c>
      <c r="E79" s="226">
        <v>3</v>
      </c>
      <c r="F79" s="227">
        <v>0</v>
      </c>
      <c r="G79" s="227">
        <f t="shared" si="24"/>
        <v>0</v>
      </c>
      <c r="H79" s="544">
        <f t="shared" si="21"/>
        <v>0</v>
      </c>
      <c r="I79" s="642">
        <f t="shared" si="22"/>
        <v>0</v>
      </c>
      <c r="J79" s="642">
        <v>0</v>
      </c>
      <c r="K79" s="642">
        <f t="shared" si="23"/>
        <v>0</v>
      </c>
      <c r="L79" s="501"/>
      <c r="M79" s="501"/>
      <c r="N79" s="501"/>
      <c r="O79" s="565"/>
    </row>
    <row r="80" spans="1:15" x14ac:dyDescent="0.25">
      <c r="A80" s="188">
        <v>13</v>
      </c>
      <c r="B80" s="189" t="s">
        <v>33</v>
      </c>
      <c r="C80" s="225" t="s">
        <v>28</v>
      </c>
      <c r="D80" s="226">
        <v>1</v>
      </c>
      <c r="E80" s="226">
        <v>3</v>
      </c>
      <c r="F80" s="227">
        <v>3000</v>
      </c>
      <c r="G80" s="227">
        <f t="shared" si="24"/>
        <v>9000</v>
      </c>
      <c r="H80" s="268">
        <f t="shared" si="21"/>
        <v>15.258375152583751</v>
      </c>
      <c r="I80" s="642">
        <f t="shared" si="22"/>
        <v>270</v>
      </c>
      <c r="J80" s="642">
        <f>350*D80</f>
        <v>350</v>
      </c>
      <c r="K80" s="642">
        <f t="shared" si="23"/>
        <v>9000</v>
      </c>
      <c r="L80" s="501"/>
      <c r="M80" s="501"/>
      <c r="N80" s="501"/>
      <c r="O80" s="565"/>
    </row>
    <row r="81" spans="1:15" x14ac:dyDescent="0.25">
      <c r="A81" s="188">
        <v>14</v>
      </c>
      <c r="B81" s="189" t="s">
        <v>34</v>
      </c>
      <c r="C81" s="225" t="s">
        <v>28</v>
      </c>
      <c r="D81" s="226">
        <f>SUM(D68:D80)</f>
        <v>19</v>
      </c>
      <c r="E81" s="226">
        <v>3</v>
      </c>
      <c r="F81" s="227">
        <v>6500</v>
      </c>
      <c r="G81" s="227">
        <f t="shared" si="24"/>
        <v>370500</v>
      </c>
      <c r="H81" s="268">
        <f t="shared" si="21"/>
        <v>628.13644378136439</v>
      </c>
      <c r="I81" s="642">
        <v>0</v>
      </c>
      <c r="J81" s="642">
        <v>0</v>
      </c>
      <c r="K81" s="642">
        <v>0</v>
      </c>
      <c r="L81" s="501"/>
      <c r="M81" s="501"/>
      <c r="N81" s="501"/>
      <c r="O81" s="565"/>
    </row>
    <row r="82" spans="1:15" ht="16.5" thickBot="1" x14ac:dyDescent="0.3">
      <c r="A82" s="188">
        <v>15</v>
      </c>
      <c r="B82" s="189" t="s">
        <v>713</v>
      </c>
      <c r="C82" s="225" t="s">
        <v>90</v>
      </c>
      <c r="D82" s="226">
        <v>130</v>
      </c>
      <c r="E82" s="226">
        <v>3</v>
      </c>
      <c r="F82" s="227">
        <v>800</v>
      </c>
      <c r="G82" s="227">
        <f t="shared" si="24"/>
        <v>312000</v>
      </c>
      <c r="H82" s="268">
        <f t="shared" si="21"/>
        <v>528.95700528957002</v>
      </c>
      <c r="I82" s="642">
        <v>0</v>
      </c>
      <c r="J82" s="642">
        <v>0</v>
      </c>
      <c r="K82" s="642">
        <v>0</v>
      </c>
      <c r="L82" s="501"/>
      <c r="M82" s="501"/>
      <c r="N82" s="501"/>
      <c r="O82" s="565"/>
    </row>
    <row r="83" spans="1:15" ht="16.5" thickBot="1" x14ac:dyDescent="0.3">
      <c r="A83" s="188">
        <v>16</v>
      </c>
      <c r="B83" s="189" t="s">
        <v>1281</v>
      </c>
      <c r="C83" s="225" t="s">
        <v>28</v>
      </c>
      <c r="D83" s="226">
        <v>2</v>
      </c>
      <c r="E83" s="226">
        <v>3</v>
      </c>
      <c r="F83" s="227">
        <v>1500</v>
      </c>
      <c r="G83" s="227">
        <f t="shared" si="24"/>
        <v>9000</v>
      </c>
      <c r="H83" s="544">
        <f t="shared" si="21"/>
        <v>15.258375152583751</v>
      </c>
      <c r="I83" s="642">
        <v>0</v>
      </c>
      <c r="J83" s="642">
        <v>0</v>
      </c>
      <c r="K83" s="642">
        <v>0</v>
      </c>
      <c r="L83" s="501"/>
      <c r="M83" s="501"/>
      <c r="N83" s="501"/>
      <c r="O83" s="565"/>
    </row>
    <row r="84" spans="1:15" ht="16.5" thickBot="1" x14ac:dyDescent="0.3">
      <c r="A84" s="188">
        <v>17</v>
      </c>
      <c r="B84" s="26" t="s">
        <v>273</v>
      </c>
      <c r="C84" s="23" t="s">
        <v>29</v>
      </c>
      <c r="D84" s="24">
        <v>50</v>
      </c>
      <c r="E84" s="226">
        <v>1</v>
      </c>
      <c r="F84" s="25">
        <v>800</v>
      </c>
      <c r="G84" s="227">
        <f t="shared" si="24"/>
        <v>40000</v>
      </c>
      <c r="H84" s="268">
        <f t="shared" si="21"/>
        <v>67.81500067815</v>
      </c>
      <c r="I84" s="642">
        <v>0</v>
      </c>
      <c r="J84" s="642">
        <v>0</v>
      </c>
      <c r="K84" s="501"/>
      <c r="L84" s="501"/>
      <c r="M84" s="501"/>
      <c r="N84" s="501"/>
      <c r="O84" s="565"/>
    </row>
    <row r="85" spans="1:15" ht="18.75" thickBot="1" x14ac:dyDescent="0.3">
      <c r="A85" s="341"/>
      <c r="B85" s="342" t="s">
        <v>1399</v>
      </c>
      <c r="C85" s="343"/>
      <c r="D85" s="343"/>
      <c r="E85" s="343"/>
      <c r="F85" s="344"/>
      <c r="G85" s="344">
        <f>SUM(G68:G84)</f>
        <v>1396000</v>
      </c>
      <c r="H85" s="516">
        <f>SUM(H68:H84)</f>
        <v>2366.7435236674346</v>
      </c>
      <c r="I85" s="263">
        <f>SUM(I68:I84)</f>
        <v>19935</v>
      </c>
      <c r="J85" s="263">
        <f>SUM(J68:J84)</f>
        <v>46300</v>
      </c>
      <c r="K85" s="501"/>
      <c r="L85" s="501"/>
      <c r="M85" s="501"/>
      <c r="N85" s="501"/>
      <c r="O85" s="565"/>
    </row>
    <row r="86" spans="1:15" ht="18.75" thickBot="1" x14ac:dyDescent="0.3">
      <c r="A86" s="205"/>
      <c r="B86" s="205" t="s">
        <v>401</v>
      </c>
      <c r="C86" s="205"/>
      <c r="D86" s="205"/>
      <c r="E86" s="205"/>
      <c r="F86" s="205"/>
      <c r="G86" s="205"/>
      <c r="H86" s="600"/>
      <c r="I86" s="530"/>
      <c r="J86" s="501"/>
      <c r="K86" s="501"/>
      <c r="L86" s="501"/>
      <c r="M86" s="501"/>
      <c r="N86" s="501"/>
      <c r="O86" s="565"/>
    </row>
    <row r="87" spans="1:15" ht="16.5" thickBot="1" x14ac:dyDescent="0.3">
      <c r="A87" s="188">
        <v>1</v>
      </c>
      <c r="B87" s="189" t="s">
        <v>41</v>
      </c>
      <c r="C87" s="225" t="s">
        <v>28</v>
      </c>
      <c r="D87" s="226">
        <v>4</v>
      </c>
      <c r="E87" s="225">
        <v>3</v>
      </c>
      <c r="F87" s="227">
        <v>3000</v>
      </c>
      <c r="G87" s="227">
        <f t="shared" ref="G87:G91" si="26">D87*E87*F87</f>
        <v>36000</v>
      </c>
      <c r="H87" s="544">
        <f t="shared" ref="H87:H92" si="27">G87/589.84</f>
        <v>61.033500610335004</v>
      </c>
      <c r="I87" s="642">
        <f t="shared" ref="I87:I92" si="28">G87*0.03</f>
        <v>1080</v>
      </c>
      <c r="J87" s="642">
        <f>350*D87</f>
        <v>1400</v>
      </c>
      <c r="K87" s="642">
        <f t="shared" ref="K87:K92" si="29">G87/D87</f>
        <v>9000</v>
      </c>
      <c r="L87" s="501"/>
      <c r="M87" s="501"/>
      <c r="N87" s="501"/>
      <c r="O87" s="565"/>
    </row>
    <row r="88" spans="1:15" x14ac:dyDescent="0.25">
      <c r="A88" s="188">
        <v>2</v>
      </c>
      <c r="B88" s="189" t="s">
        <v>699</v>
      </c>
      <c r="C88" s="225" t="s">
        <v>28</v>
      </c>
      <c r="D88" s="226">
        <v>2</v>
      </c>
      <c r="E88" s="225">
        <v>3</v>
      </c>
      <c r="F88" s="227">
        <v>3000</v>
      </c>
      <c r="G88" s="227">
        <f t="shared" si="26"/>
        <v>18000</v>
      </c>
      <c r="H88" s="268">
        <f t="shared" si="27"/>
        <v>30.516750305167502</v>
      </c>
      <c r="I88" s="642">
        <f t="shared" si="28"/>
        <v>540</v>
      </c>
      <c r="J88" s="642">
        <f t="shared" ref="J88:J92" si="30">350*D88</f>
        <v>700</v>
      </c>
      <c r="K88" s="642">
        <f t="shared" si="29"/>
        <v>9000</v>
      </c>
      <c r="L88" s="501"/>
      <c r="M88" s="501"/>
      <c r="N88" s="501"/>
      <c r="O88" s="565"/>
    </row>
    <row r="89" spans="1:15" x14ac:dyDescent="0.25">
      <c r="A89" s="188">
        <v>3</v>
      </c>
      <c r="B89" s="189" t="s">
        <v>704</v>
      </c>
      <c r="C89" s="225" t="s">
        <v>28</v>
      </c>
      <c r="D89" s="226">
        <v>2</v>
      </c>
      <c r="E89" s="225">
        <v>3</v>
      </c>
      <c r="F89" s="227">
        <v>3000</v>
      </c>
      <c r="G89" s="227">
        <f t="shared" si="26"/>
        <v>18000</v>
      </c>
      <c r="H89" s="268">
        <f t="shared" si="27"/>
        <v>30.516750305167502</v>
      </c>
      <c r="I89" s="642">
        <f t="shared" si="28"/>
        <v>540</v>
      </c>
      <c r="J89" s="642">
        <f t="shared" si="30"/>
        <v>700</v>
      </c>
      <c r="K89" s="642">
        <f t="shared" si="29"/>
        <v>9000</v>
      </c>
      <c r="L89" s="501"/>
      <c r="M89" s="501"/>
      <c r="N89" s="501"/>
      <c r="O89" s="565"/>
    </row>
    <row r="90" spans="1:15" ht="16.5" thickBot="1" x14ac:dyDescent="0.3">
      <c r="A90" s="188">
        <v>4</v>
      </c>
      <c r="B90" s="189" t="s">
        <v>43</v>
      </c>
      <c r="C90" s="225" t="s">
        <v>28</v>
      </c>
      <c r="D90" s="226">
        <v>3</v>
      </c>
      <c r="E90" s="225">
        <v>3</v>
      </c>
      <c r="F90" s="227">
        <v>3000</v>
      </c>
      <c r="G90" s="227">
        <f t="shared" si="26"/>
        <v>27000</v>
      </c>
      <c r="H90" s="268">
        <f t="shared" si="27"/>
        <v>45.775125457751251</v>
      </c>
      <c r="I90" s="642">
        <f t="shared" si="28"/>
        <v>810</v>
      </c>
      <c r="J90" s="642">
        <f t="shared" si="30"/>
        <v>1050</v>
      </c>
      <c r="K90" s="642">
        <f t="shared" si="29"/>
        <v>9000</v>
      </c>
      <c r="L90" s="501"/>
      <c r="M90" s="501"/>
      <c r="N90" s="501"/>
      <c r="O90" s="565"/>
    </row>
    <row r="91" spans="1:15" ht="16.5" thickBot="1" x14ac:dyDescent="0.3">
      <c r="A91" s="188">
        <v>5</v>
      </c>
      <c r="B91" s="26" t="s">
        <v>39</v>
      </c>
      <c r="C91" s="23" t="s">
        <v>28</v>
      </c>
      <c r="D91" s="24">
        <v>3</v>
      </c>
      <c r="E91" s="225">
        <v>3</v>
      </c>
      <c r="F91" s="25">
        <v>2000</v>
      </c>
      <c r="G91" s="227">
        <f t="shared" si="26"/>
        <v>18000</v>
      </c>
      <c r="H91" s="544">
        <f t="shared" si="27"/>
        <v>30.516750305167502</v>
      </c>
      <c r="I91" s="642">
        <f t="shared" si="28"/>
        <v>540</v>
      </c>
      <c r="J91" s="642">
        <f t="shared" si="30"/>
        <v>1050</v>
      </c>
      <c r="K91" s="642">
        <f t="shared" si="29"/>
        <v>6000</v>
      </c>
      <c r="L91" s="501"/>
      <c r="M91" s="501"/>
      <c r="N91" s="501"/>
      <c r="O91" s="565"/>
    </row>
    <row r="92" spans="1:15" ht="16.5" thickBot="1" x14ac:dyDescent="0.3">
      <c r="A92" s="188">
        <v>6</v>
      </c>
      <c r="B92" s="189" t="s">
        <v>44</v>
      </c>
      <c r="C92" s="225" t="s">
        <v>28</v>
      </c>
      <c r="D92" s="226">
        <f>SUM(D87:D91)</f>
        <v>14</v>
      </c>
      <c r="E92" s="225">
        <v>3</v>
      </c>
      <c r="F92" s="227">
        <v>3000</v>
      </c>
      <c r="G92" s="227">
        <f>D92*E92*F92</f>
        <v>126000</v>
      </c>
      <c r="H92" s="268">
        <f t="shared" si="27"/>
        <v>213.61725213617251</v>
      </c>
      <c r="I92" s="642">
        <f t="shared" si="28"/>
        <v>3780</v>
      </c>
      <c r="J92" s="642">
        <f t="shared" si="30"/>
        <v>4900</v>
      </c>
      <c r="K92" s="642">
        <f t="shared" si="29"/>
        <v>9000</v>
      </c>
      <c r="L92" s="501"/>
      <c r="M92" s="501"/>
      <c r="N92" s="501"/>
      <c r="O92" s="565"/>
    </row>
    <row r="93" spans="1:15" ht="18.75" thickBot="1" x14ac:dyDescent="0.3">
      <c r="A93" s="341"/>
      <c r="B93" s="342" t="s">
        <v>1399</v>
      </c>
      <c r="C93" s="343"/>
      <c r="D93" s="343"/>
      <c r="E93" s="343"/>
      <c r="F93" s="344"/>
      <c r="G93" s="344">
        <f>SUM(G87:G92)</f>
        <v>243000</v>
      </c>
      <c r="H93" s="516">
        <f>SUM(H87:H92)</f>
        <v>411.97612911976125</v>
      </c>
      <c r="I93" s="263">
        <f>SUM(I87:I92)</f>
        <v>7290</v>
      </c>
      <c r="J93" s="263">
        <f>SUM(J87:J92)</f>
        <v>9800</v>
      </c>
      <c r="K93" s="501"/>
      <c r="L93" s="501"/>
      <c r="M93" s="501"/>
      <c r="N93" s="501"/>
      <c r="O93" s="565"/>
    </row>
    <row r="94" spans="1:15" ht="18.75" thickBot="1" x14ac:dyDescent="0.3">
      <c r="A94" s="205"/>
      <c r="B94" s="205" t="s">
        <v>402</v>
      </c>
      <c r="C94" s="205"/>
      <c r="D94" s="205"/>
      <c r="E94" s="205"/>
      <c r="F94" s="205"/>
      <c r="G94" s="205"/>
      <c r="H94" s="600"/>
      <c r="I94" s="530"/>
      <c r="J94" s="501"/>
      <c r="K94" s="501"/>
      <c r="L94" s="501"/>
      <c r="M94" s="501"/>
      <c r="N94" s="501"/>
      <c r="O94" s="565"/>
    </row>
    <row r="95" spans="1:15" ht="16.5" thickBot="1" x14ac:dyDescent="0.3">
      <c r="A95" s="188">
        <v>1</v>
      </c>
      <c r="B95" s="189" t="s">
        <v>46</v>
      </c>
      <c r="C95" s="225" t="s">
        <v>28</v>
      </c>
      <c r="D95" s="226">
        <v>2</v>
      </c>
      <c r="E95" s="225">
        <v>1</v>
      </c>
      <c r="F95" s="227">
        <v>2500</v>
      </c>
      <c r="G95" s="227">
        <f t="shared" ref="G95:G99" si="31">D95*E95*F95</f>
        <v>5000</v>
      </c>
      <c r="H95" s="544">
        <f t="shared" ref="H95:H99" si="32">G95/589.84</f>
        <v>8.47687508476875</v>
      </c>
      <c r="I95" s="642">
        <f t="shared" ref="I95:I99" si="33">G95*0.03</f>
        <v>150</v>
      </c>
      <c r="J95" s="642">
        <f>125*D95</f>
        <v>250</v>
      </c>
      <c r="K95" s="642">
        <f t="shared" ref="K95:K99" si="34">G95/D95</f>
        <v>2500</v>
      </c>
      <c r="L95" s="501"/>
      <c r="M95" s="501"/>
      <c r="N95" s="501"/>
      <c r="O95" s="565"/>
    </row>
    <row r="96" spans="1:15" ht="16.5" thickBot="1" x14ac:dyDescent="0.3">
      <c r="A96" s="188">
        <v>2</v>
      </c>
      <c r="B96" s="189" t="s">
        <v>720</v>
      </c>
      <c r="C96" s="225" t="s">
        <v>28</v>
      </c>
      <c r="D96" s="226">
        <v>1</v>
      </c>
      <c r="E96" s="225">
        <v>1</v>
      </c>
      <c r="F96" s="227">
        <v>2500</v>
      </c>
      <c r="G96" s="227">
        <f t="shared" si="31"/>
        <v>2500</v>
      </c>
      <c r="H96" s="544">
        <f t="shared" si="32"/>
        <v>4.238437542384375</v>
      </c>
      <c r="I96" s="642">
        <f t="shared" si="33"/>
        <v>75</v>
      </c>
      <c r="J96" s="642">
        <f t="shared" ref="J96:J97" si="35">125*D96</f>
        <v>125</v>
      </c>
      <c r="K96" s="642">
        <f t="shared" si="34"/>
        <v>2500</v>
      </c>
      <c r="L96" s="501"/>
      <c r="M96" s="501"/>
      <c r="N96" s="501"/>
      <c r="O96" s="565"/>
    </row>
    <row r="97" spans="1:15" x14ac:dyDescent="0.25">
      <c r="A97" s="188">
        <v>3</v>
      </c>
      <c r="B97" s="189" t="s">
        <v>705</v>
      </c>
      <c r="C97" s="225" t="s">
        <v>28</v>
      </c>
      <c r="D97" s="226">
        <v>1</v>
      </c>
      <c r="E97" s="225">
        <v>1</v>
      </c>
      <c r="F97" s="227">
        <v>2500</v>
      </c>
      <c r="G97" s="227">
        <f t="shared" si="31"/>
        <v>2500</v>
      </c>
      <c r="H97" s="268">
        <f t="shared" si="32"/>
        <v>4.238437542384375</v>
      </c>
      <c r="I97" s="642">
        <f t="shared" si="33"/>
        <v>75</v>
      </c>
      <c r="J97" s="642">
        <f t="shared" si="35"/>
        <v>125</v>
      </c>
      <c r="K97" s="642">
        <f t="shared" si="34"/>
        <v>2500</v>
      </c>
      <c r="L97" s="501"/>
      <c r="M97" s="501"/>
      <c r="N97" s="501"/>
      <c r="O97" s="565"/>
    </row>
    <row r="98" spans="1:15" x14ac:dyDescent="0.25">
      <c r="A98" s="188">
        <v>4</v>
      </c>
      <c r="B98" s="189" t="s">
        <v>43</v>
      </c>
      <c r="C98" s="225" t="s">
        <v>28</v>
      </c>
      <c r="D98" s="226">
        <v>3</v>
      </c>
      <c r="E98" s="225">
        <v>1</v>
      </c>
      <c r="F98" s="227">
        <v>3000</v>
      </c>
      <c r="G98" s="227">
        <f t="shared" si="31"/>
        <v>9000</v>
      </c>
      <c r="H98" s="268">
        <f t="shared" si="32"/>
        <v>15.258375152583751</v>
      </c>
      <c r="I98" s="642">
        <f t="shared" si="33"/>
        <v>270</v>
      </c>
      <c r="J98" s="642">
        <f>250*D98</f>
        <v>750</v>
      </c>
      <c r="K98" s="642">
        <f t="shared" si="34"/>
        <v>3000</v>
      </c>
      <c r="L98" s="501"/>
      <c r="M98" s="501"/>
      <c r="N98" s="501"/>
      <c r="O98" s="565"/>
    </row>
    <row r="99" spans="1:15" ht="16.5" thickBot="1" x14ac:dyDescent="0.3">
      <c r="A99" s="188">
        <v>5</v>
      </c>
      <c r="B99" s="189" t="s">
        <v>48</v>
      </c>
      <c r="C99" s="225" t="s">
        <v>28</v>
      </c>
      <c r="D99" s="226">
        <f>SUM(D95:D98)</f>
        <v>7</v>
      </c>
      <c r="E99" s="226">
        <v>1</v>
      </c>
      <c r="F99" s="227">
        <v>3000</v>
      </c>
      <c r="G99" s="227">
        <f t="shared" si="31"/>
        <v>21000</v>
      </c>
      <c r="H99" s="268">
        <f t="shared" si="32"/>
        <v>35.602875356028754</v>
      </c>
      <c r="I99" s="642">
        <f t="shared" si="33"/>
        <v>630</v>
      </c>
      <c r="J99" s="642">
        <f>250*D99</f>
        <v>1750</v>
      </c>
      <c r="K99" s="642">
        <f t="shared" si="34"/>
        <v>3000</v>
      </c>
      <c r="L99" s="501"/>
      <c r="M99" s="501"/>
      <c r="N99" s="501"/>
      <c r="O99" s="565"/>
    </row>
    <row r="100" spans="1:15" ht="18.75" thickBot="1" x14ac:dyDescent="0.3">
      <c r="A100" s="341">
        <v>6</v>
      </c>
      <c r="B100" s="342" t="s">
        <v>1399</v>
      </c>
      <c r="C100" s="343"/>
      <c r="D100" s="343"/>
      <c r="E100" s="343"/>
      <c r="F100" s="344"/>
      <c r="G100" s="344">
        <f>SUM(G95:G99)</f>
        <v>40000</v>
      </c>
      <c r="H100" s="516">
        <f>SUM(H95:H99)</f>
        <v>67.81500067815</v>
      </c>
      <c r="I100" s="263">
        <f>SUM(I95:I99)</f>
        <v>1200</v>
      </c>
      <c r="J100" s="263">
        <f>SUM(J95:J99)</f>
        <v>3000</v>
      </c>
      <c r="K100" s="501"/>
      <c r="L100" s="501"/>
      <c r="M100" s="501"/>
      <c r="N100" s="501"/>
      <c r="O100" s="565"/>
    </row>
    <row r="101" spans="1:15" ht="19.149999999999999" customHeight="1" thickBot="1" x14ac:dyDescent="0.3">
      <c r="A101" s="780" t="s">
        <v>523</v>
      </c>
      <c r="B101" s="781"/>
      <c r="C101" s="781"/>
      <c r="D101" s="781"/>
      <c r="E101" s="782"/>
      <c r="F101" s="348"/>
      <c r="G101" s="349"/>
      <c r="H101" s="545"/>
      <c r="I101" s="530"/>
      <c r="J101" s="501"/>
      <c r="K101" s="501"/>
      <c r="L101" s="501"/>
      <c r="M101" s="501"/>
      <c r="N101" s="501"/>
      <c r="O101" s="565"/>
    </row>
    <row r="102" spans="1:15" ht="18.75" thickBot="1" x14ac:dyDescent="0.3">
      <c r="A102" s="205"/>
      <c r="B102" s="205" t="s">
        <v>403</v>
      </c>
      <c r="C102" s="205"/>
      <c r="D102" s="205"/>
      <c r="E102" s="205"/>
      <c r="F102" s="205"/>
      <c r="G102" s="205"/>
      <c r="H102" s="600"/>
      <c r="I102" s="530"/>
      <c r="J102" s="501"/>
      <c r="K102" s="501"/>
      <c r="L102" s="501"/>
      <c r="M102" s="501"/>
      <c r="N102" s="501"/>
      <c r="O102" s="565"/>
    </row>
    <row r="103" spans="1:15" ht="16.5" thickBot="1" x14ac:dyDescent="0.3">
      <c r="A103" s="188">
        <v>1</v>
      </c>
      <c r="B103" s="189" t="s">
        <v>714</v>
      </c>
      <c r="C103" s="225" t="s">
        <v>28</v>
      </c>
      <c r="D103" s="226">
        <v>1</v>
      </c>
      <c r="E103" s="225">
        <v>1</v>
      </c>
      <c r="F103" s="227">
        <v>5000</v>
      </c>
      <c r="G103" s="227">
        <f t="shared" ref="G103:G115" si="36">D103*E103*F103</f>
        <v>5000</v>
      </c>
      <c r="H103" s="544">
        <f t="shared" ref="H103:H115" si="37">G103/589.84</f>
        <v>8.47687508476875</v>
      </c>
      <c r="I103" s="642">
        <f t="shared" ref="I103:I114" si="38">G103*0.03</f>
        <v>150</v>
      </c>
      <c r="J103" s="642">
        <f>250*D103</f>
        <v>250</v>
      </c>
      <c r="K103" s="642">
        <f t="shared" ref="K103:K114" si="39">G103/D103</f>
        <v>5000</v>
      </c>
      <c r="L103" s="501"/>
      <c r="M103" s="501"/>
      <c r="N103" s="501"/>
      <c r="O103" s="565"/>
    </row>
    <row r="104" spans="1:15" ht="16.5" thickBot="1" x14ac:dyDescent="0.3">
      <c r="A104" s="188">
        <v>2</v>
      </c>
      <c r="B104" s="189" t="s">
        <v>718</v>
      </c>
      <c r="C104" s="225" t="s">
        <v>28</v>
      </c>
      <c r="D104" s="226">
        <v>1</v>
      </c>
      <c r="E104" s="225">
        <v>2</v>
      </c>
      <c r="F104" s="227">
        <v>8000</v>
      </c>
      <c r="G104" s="227">
        <f t="shared" si="36"/>
        <v>16000</v>
      </c>
      <c r="H104" s="544">
        <f t="shared" si="37"/>
        <v>27.126000271260001</v>
      </c>
      <c r="I104" s="642">
        <f t="shared" si="38"/>
        <v>480</v>
      </c>
      <c r="J104" s="642">
        <f>550*D104</f>
        <v>550</v>
      </c>
      <c r="K104" s="642">
        <f t="shared" si="39"/>
        <v>16000</v>
      </c>
      <c r="L104" s="501"/>
      <c r="M104" s="501"/>
      <c r="N104" s="501"/>
      <c r="O104" s="565"/>
    </row>
    <row r="105" spans="1:15" ht="16.5" thickBot="1" x14ac:dyDescent="0.3">
      <c r="A105" s="188">
        <v>3</v>
      </c>
      <c r="B105" s="189" t="s">
        <v>719</v>
      </c>
      <c r="C105" s="225" t="s">
        <v>28</v>
      </c>
      <c r="D105" s="226">
        <v>1</v>
      </c>
      <c r="E105" s="225">
        <v>2</v>
      </c>
      <c r="F105" s="227">
        <v>8000</v>
      </c>
      <c r="G105" s="227">
        <f t="shared" si="36"/>
        <v>16000</v>
      </c>
      <c r="H105" s="544">
        <f t="shared" si="37"/>
        <v>27.126000271260001</v>
      </c>
      <c r="I105" s="642">
        <f t="shared" si="38"/>
        <v>480</v>
      </c>
      <c r="J105" s="642">
        <f>550*D105</f>
        <v>550</v>
      </c>
      <c r="K105" s="642">
        <f t="shared" si="39"/>
        <v>16000</v>
      </c>
      <c r="L105" s="501"/>
      <c r="M105" s="501"/>
      <c r="N105" s="501"/>
      <c r="O105" s="565"/>
    </row>
    <row r="106" spans="1:15" ht="16.5" thickBot="1" x14ac:dyDescent="0.3">
      <c r="A106" s="188">
        <v>4</v>
      </c>
      <c r="B106" s="189" t="s">
        <v>406</v>
      </c>
      <c r="C106" s="225" t="s">
        <v>28</v>
      </c>
      <c r="D106" s="226">
        <v>1</v>
      </c>
      <c r="E106" s="225">
        <v>1</v>
      </c>
      <c r="F106" s="227">
        <v>5000</v>
      </c>
      <c r="G106" s="227">
        <f t="shared" si="36"/>
        <v>5000</v>
      </c>
      <c r="H106" s="544">
        <f t="shared" si="37"/>
        <v>8.47687508476875</v>
      </c>
      <c r="I106" s="642">
        <f t="shared" si="38"/>
        <v>150</v>
      </c>
      <c r="J106" s="642">
        <f t="shared" ref="J106:J111" si="40">250*D106</f>
        <v>250</v>
      </c>
      <c r="K106" s="642">
        <f t="shared" si="39"/>
        <v>5000</v>
      </c>
      <c r="L106" s="501"/>
      <c r="M106" s="501"/>
      <c r="N106" s="501"/>
      <c r="O106" s="565"/>
    </row>
    <row r="107" spans="1:15" ht="16.5" thickBot="1" x14ac:dyDescent="0.3">
      <c r="A107" s="188">
        <v>5</v>
      </c>
      <c r="B107" s="189" t="s">
        <v>407</v>
      </c>
      <c r="C107" s="225" t="s">
        <v>28</v>
      </c>
      <c r="D107" s="226">
        <v>2</v>
      </c>
      <c r="E107" s="225">
        <v>1</v>
      </c>
      <c r="F107" s="227">
        <v>5000</v>
      </c>
      <c r="G107" s="227">
        <f t="shared" si="36"/>
        <v>10000</v>
      </c>
      <c r="H107" s="544">
        <f t="shared" si="37"/>
        <v>16.9537501695375</v>
      </c>
      <c r="I107" s="642">
        <f t="shared" si="38"/>
        <v>300</v>
      </c>
      <c r="J107" s="642">
        <f t="shared" si="40"/>
        <v>500</v>
      </c>
      <c r="K107" s="642">
        <f t="shared" si="39"/>
        <v>5000</v>
      </c>
      <c r="L107" s="501"/>
      <c r="M107" s="501"/>
      <c r="N107" s="501"/>
      <c r="O107" s="565"/>
    </row>
    <row r="108" spans="1:15" ht="16.5" thickBot="1" x14ac:dyDescent="0.3">
      <c r="A108" s="188">
        <v>6</v>
      </c>
      <c r="B108" s="189" t="s">
        <v>408</v>
      </c>
      <c r="C108" s="225" t="s">
        <v>28</v>
      </c>
      <c r="D108" s="226">
        <v>8</v>
      </c>
      <c r="E108" s="225">
        <v>1</v>
      </c>
      <c r="F108" s="227">
        <v>5000</v>
      </c>
      <c r="G108" s="227">
        <f t="shared" si="36"/>
        <v>40000</v>
      </c>
      <c r="H108" s="544">
        <f t="shared" si="37"/>
        <v>67.81500067815</v>
      </c>
      <c r="I108" s="642">
        <f t="shared" si="38"/>
        <v>1200</v>
      </c>
      <c r="J108" s="642">
        <f t="shared" si="40"/>
        <v>2000</v>
      </c>
      <c r="K108" s="642">
        <f t="shared" si="39"/>
        <v>5000</v>
      </c>
      <c r="L108" s="501"/>
      <c r="M108" s="501"/>
      <c r="N108" s="501"/>
      <c r="O108" s="565"/>
    </row>
    <row r="109" spans="1:15" ht="16.5" thickBot="1" x14ac:dyDescent="0.3">
      <c r="A109" s="188">
        <v>7</v>
      </c>
      <c r="B109" s="189" t="s">
        <v>425</v>
      </c>
      <c r="C109" s="225" t="s">
        <v>28</v>
      </c>
      <c r="D109" s="226">
        <v>2</v>
      </c>
      <c r="E109" s="225">
        <v>1</v>
      </c>
      <c r="F109" s="227">
        <v>0</v>
      </c>
      <c r="G109" s="227">
        <f t="shared" si="36"/>
        <v>0</v>
      </c>
      <c r="H109" s="544">
        <f t="shared" si="37"/>
        <v>0</v>
      </c>
      <c r="I109" s="642">
        <f t="shared" si="38"/>
        <v>0</v>
      </c>
      <c r="J109" s="642">
        <v>0</v>
      </c>
      <c r="K109" s="642">
        <f t="shared" si="39"/>
        <v>0</v>
      </c>
      <c r="L109" s="501"/>
      <c r="M109" s="501"/>
      <c r="N109" s="501"/>
      <c r="O109" s="565"/>
    </row>
    <row r="110" spans="1:15" ht="16.5" thickBot="1" x14ac:dyDescent="0.3">
      <c r="A110" s="188">
        <v>8</v>
      </c>
      <c r="B110" s="189" t="s">
        <v>423</v>
      </c>
      <c r="C110" s="225" t="s">
        <v>28</v>
      </c>
      <c r="D110" s="226">
        <v>1</v>
      </c>
      <c r="E110" s="225">
        <v>1</v>
      </c>
      <c r="F110" s="227">
        <v>5000</v>
      </c>
      <c r="G110" s="227">
        <f t="shared" si="36"/>
        <v>5000</v>
      </c>
      <c r="H110" s="544">
        <f t="shared" si="37"/>
        <v>8.47687508476875</v>
      </c>
      <c r="I110" s="642">
        <f t="shared" si="38"/>
        <v>150</v>
      </c>
      <c r="J110" s="642">
        <f t="shared" si="40"/>
        <v>250</v>
      </c>
      <c r="K110" s="642">
        <f t="shared" si="39"/>
        <v>5000</v>
      </c>
      <c r="L110" s="501"/>
      <c r="M110" s="501"/>
      <c r="N110" s="501"/>
      <c r="O110" s="565"/>
    </row>
    <row r="111" spans="1:15" ht="16.5" thickBot="1" x14ac:dyDescent="0.3">
      <c r="A111" s="188">
        <v>9</v>
      </c>
      <c r="B111" s="189" t="s">
        <v>424</v>
      </c>
      <c r="C111" s="225" t="s">
        <v>28</v>
      </c>
      <c r="D111" s="226">
        <v>1</v>
      </c>
      <c r="E111" s="225">
        <v>1</v>
      </c>
      <c r="F111" s="227">
        <v>5000</v>
      </c>
      <c r="G111" s="227">
        <f t="shared" si="36"/>
        <v>5000</v>
      </c>
      <c r="H111" s="544">
        <f t="shared" si="37"/>
        <v>8.47687508476875</v>
      </c>
      <c r="I111" s="642">
        <f t="shared" si="38"/>
        <v>150</v>
      </c>
      <c r="J111" s="642">
        <f t="shared" si="40"/>
        <v>250</v>
      </c>
      <c r="K111" s="642">
        <f t="shared" si="39"/>
        <v>5000</v>
      </c>
      <c r="L111" s="501"/>
      <c r="M111" s="501"/>
      <c r="N111" s="501"/>
      <c r="O111" s="565"/>
    </row>
    <row r="112" spans="1:15" ht="16.5" thickBot="1" x14ac:dyDescent="0.3">
      <c r="A112" s="188">
        <v>10</v>
      </c>
      <c r="B112" s="189" t="s">
        <v>409</v>
      </c>
      <c r="C112" s="225" t="s">
        <v>28</v>
      </c>
      <c r="D112" s="226">
        <v>1</v>
      </c>
      <c r="E112" s="225">
        <v>1</v>
      </c>
      <c r="F112" s="227">
        <v>3000</v>
      </c>
      <c r="G112" s="227">
        <f t="shared" si="36"/>
        <v>3000</v>
      </c>
      <c r="H112" s="544">
        <f t="shared" si="37"/>
        <v>5.0861250508612503</v>
      </c>
      <c r="I112" s="642">
        <f t="shared" si="38"/>
        <v>90</v>
      </c>
      <c r="J112" s="642">
        <f>250*D112</f>
        <v>250</v>
      </c>
      <c r="K112" s="642">
        <f t="shared" si="39"/>
        <v>3000</v>
      </c>
      <c r="L112" s="501"/>
      <c r="M112" s="501"/>
      <c r="N112" s="501"/>
      <c r="O112" s="565"/>
    </row>
    <row r="113" spans="1:46" ht="16.5" thickBot="1" x14ac:dyDescent="0.3">
      <c r="A113" s="188">
        <v>11</v>
      </c>
      <c r="B113" s="189" t="s">
        <v>426</v>
      </c>
      <c r="C113" s="225" t="s">
        <v>28</v>
      </c>
      <c r="D113" s="226">
        <f>SUM(D103:D112)</f>
        <v>19</v>
      </c>
      <c r="E113" s="225">
        <v>1</v>
      </c>
      <c r="F113" s="227">
        <v>5000</v>
      </c>
      <c r="G113" s="227">
        <f t="shared" si="36"/>
        <v>95000</v>
      </c>
      <c r="H113" s="544">
        <f t="shared" si="37"/>
        <v>161.06062661060625</v>
      </c>
      <c r="I113" s="642">
        <f t="shared" si="38"/>
        <v>2850</v>
      </c>
      <c r="J113" s="642">
        <f>250*D113</f>
        <v>4750</v>
      </c>
      <c r="K113" s="642">
        <f t="shared" si="39"/>
        <v>5000</v>
      </c>
      <c r="L113" s="501"/>
      <c r="M113" s="501"/>
      <c r="N113" s="501"/>
      <c r="O113" s="565"/>
    </row>
    <row r="114" spans="1:46" ht="16.5" thickBot="1" x14ac:dyDescent="0.3">
      <c r="A114" s="188">
        <v>12</v>
      </c>
      <c r="B114" s="189" t="s">
        <v>410</v>
      </c>
      <c r="C114" s="225" t="s">
        <v>28</v>
      </c>
      <c r="D114" s="226">
        <v>2</v>
      </c>
      <c r="E114" s="225">
        <v>2</v>
      </c>
      <c r="F114" s="227">
        <v>1500</v>
      </c>
      <c r="G114" s="227">
        <f t="shared" si="36"/>
        <v>6000</v>
      </c>
      <c r="H114" s="544">
        <f t="shared" si="37"/>
        <v>10.172250101722501</v>
      </c>
      <c r="I114" s="642">
        <f t="shared" si="38"/>
        <v>180</v>
      </c>
      <c r="J114" s="642">
        <f>250*D114</f>
        <v>500</v>
      </c>
      <c r="K114" s="642">
        <f t="shared" si="39"/>
        <v>3000</v>
      </c>
      <c r="L114" s="501"/>
      <c r="M114" s="501"/>
      <c r="N114" s="501"/>
      <c r="O114" s="565"/>
    </row>
    <row r="115" spans="1:46" ht="16.5" thickBot="1" x14ac:dyDescent="0.3">
      <c r="A115" s="370">
        <v>13</v>
      </c>
      <c r="B115" s="189" t="s">
        <v>432</v>
      </c>
      <c r="C115" s="225" t="s">
        <v>30</v>
      </c>
      <c r="D115" s="226">
        <v>20</v>
      </c>
      <c r="E115" s="226">
        <v>1</v>
      </c>
      <c r="F115" s="227">
        <v>800</v>
      </c>
      <c r="G115" s="227">
        <f t="shared" si="36"/>
        <v>16000</v>
      </c>
      <c r="H115" s="544">
        <f t="shared" si="37"/>
        <v>27.126000271260001</v>
      </c>
      <c r="I115" s="642">
        <v>0</v>
      </c>
      <c r="J115" s="642">
        <v>0</v>
      </c>
      <c r="K115" s="501"/>
      <c r="L115" s="501"/>
      <c r="M115" s="501"/>
      <c r="N115" s="501"/>
      <c r="O115" s="565"/>
    </row>
    <row r="116" spans="1:46" ht="19.149999999999999" customHeight="1" thickBot="1" x14ac:dyDescent="0.3">
      <c r="A116" s="780" t="s">
        <v>527</v>
      </c>
      <c r="B116" s="781"/>
      <c r="C116" s="781"/>
      <c r="D116" s="781"/>
      <c r="E116" s="782"/>
      <c r="F116" s="348"/>
      <c r="G116" s="349">
        <f>SUM(G103:G115)</f>
        <v>222000</v>
      </c>
      <c r="H116" s="545">
        <f>SUM(H103:H115)</f>
        <v>376.37325376373252</v>
      </c>
      <c r="I116" s="263">
        <f>SUM(I103:I115)</f>
        <v>6180</v>
      </c>
      <c r="J116" s="263">
        <f>SUM(J103:J115)</f>
        <v>10100</v>
      </c>
      <c r="K116" s="501"/>
      <c r="L116" s="501"/>
      <c r="M116" s="501"/>
      <c r="N116" s="501"/>
      <c r="O116" s="565"/>
    </row>
    <row r="117" spans="1:46" ht="18" x14ac:dyDescent="0.25">
      <c r="A117" s="231"/>
      <c r="B117" s="234" t="s">
        <v>427</v>
      </c>
      <c r="C117" s="232"/>
      <c r="D117" s="232"/>
      <c r="E117" s="232"/>
      <c r="F117" s="232"/>
      <c r="G117" s="232"/>
      <c r="H117" s="596"/>
      <c r="I117" s="530"/>
      <c r="J117" s="501"/>
      <c r="K117" s="501"/>
      <c r="L117" s="501"/>
      <c r="M117" s="501"/>
      <c r="N117" s="501"/>
      <c r="O117" s="565"/>
    </row>
    <row r="118" spans="1:46" ht="18.75" thickBot="1" x14ac:dyDescent="0.3">
      <c r="A118" s="205"/>
      <c r="B118" s="205" t="s">
        <v>433</v>
      </c>
      <c r="C118" s="205"/>
      <c r="D118" s="205"/>
      <c r="E118" s="205"/>
      <c r="F118" s="205"/>
      <c r="G118" s="205"/>
      <c r="H118" s="600"/>
      <c r="I118" s="530"/>
      <c r="J118" s="501"/>
      <c r="K118" s="501"/>
      <c r="L118" s="501"/>
      <c r="M118" s="501"/>
      <c r="N118" s="501"/>
      <c r="O118" s="565"/>
    </row>
    <row r="119" spans="1:46" ht="16.5" thickBot="1" x14ac:dyDescent="0.3">
      <c r="A119" s="188">
        <v>1</v>
      </c>
      <c r="B119" s="189" t="s">
        <v>715</v>
      </c>
      <c r="C119" s="225" t="s">
        <v>28</v>
      </c>
      <c r="D119" s="226">
        <v>5</v>
      </c>
      <c r="E119" s="225">
        <v>1</v>
      </c>
      <c r="F119" s="28">
        <f>7500-5000</f>
        <v>2500</v>
      </c>
      <c r="G119" s="227">
        <f t="shared" ref="G119:G125" si="41">D119*E119*F119</f>
        <v>12500</v>
      </c>
      <c r="H119" s="544">
        <f t="shared" ref="H119:H125" si="42">G119/589.84</f>
        <v>21.192187711921875</v>
      </c>
      <c r="I119" s="642">
        <f t="shared" ref="I119:I125" si="43">G119*0.03</f>
        <v>375</v>
      </c>
      <c r="J119" s="642">
        <f>125*D119</f>
        <v>625</v>
      </c>
      <c r="K119" s="642">
        <f t="shared" ref="K119:K123" si="44">G119/D119</f>
        <v>2500</v>
      </c>
      <c r="L119" s="501"/>
      <c r="M119" s="501"/>
      <c r="N119" s="501"/>
      <c r="O119" s="565"/>
    </row>
    <row r="120" spans="1:46" ht="16.5" thickBot="1" x14ac:dyDescent="0.3">
      <c r="A120" s="188">
        <v>2</v>
      </c>
      <c r="B120" s="189" t="s">
        <v>716</v>
      </c>
      <c r="C120" s="225" t="s">
        <v>28</v>
      </c>
      <c r="D120" s="226">
        <v>4</v>
      </c>
      <c r="E120" s="225">
        <v>1</v>
      </c>
      <c r="F120" s="28">
        <f t="shared" ref="F120:F121" si="45">7500-5000</f>
        <v>2500</v>
      </c>
      <c r="G120" s="227">
        <f t="shared" si="41"/>
        <v>10000</v>
      </c>
      <c r="H120" s="544">
        <f t="shared" si="42"/>
        <v>16.9537501695375</v>
      </c>
      <c r="I120" s="642">
        <f t="shared" si="43"/>
        <v>300</v>
      </c>
      <c r="J120" s="642">
        <f t="shared" ref="J120:J121" si="46">125*D120</f>
        <v>500</v>
      </c>
      <c r="K120" s="642">
        <f t="shared" si="44"/>
        <v>2500</v>
      </c>
      <c r="L120" s="501"/>
      <c r="M120" s="501"/>
      <c r="N120" s="501"/>
      <c r="O120" s="565"/>
    </row>
    <row r="121" spans="1:46" ht="16.5" thickBot="1" x14ac:dyDescent="0.3">
      <c r="A121" s="188">
        <v>3</v>
      </c>
      <c r="B121" s="189" t="s">
        <v>717</v>
      </c>
      <c r="C121" s="225" t="s">
        <v>28</v>
      </c>
      <c r="D121" s="226">
        <v>7</v>
      </c>
      <c r="E121" s="225">
        <v>1</v>
      </c>
      <c r="F121" s="28">
        <f t="shared" si="45"/>
        <v>2500</v>
      </c>
      <c r="G121" s="227">
        <f t="shared" si="41"/>
        <v>17500</v>
      </c>
      <c r="H121" s="544">
        <f t="shared" si="42"/>
        <v>29.669062796690625</v>
      </c>
      <c r="I121" s="642">
        <f t="shared" si="43"/>
        <v>525</v>
      </c>
      <c r="J121" s="642">
        <f t="shared" si="46"/>
        <v>875</v>
      </c>
      <c r="K121" s="642">
        <f t="shared" si="44"/>
        <v>2500</v>
      </c>
      <c r="L121" s="501"/>
      <c r="M121" s="501"/>
      <c r="N121" s="501"/>
      <c r="O121" s="565"/>
    </row>
    <row r="122" spans="1:46" s="34" customFormat="1" ht="16.5" thickBot="1" x14ac:dyDescent="0.3">
      <c r="A122" s="188">
        <v>4</v>
      </c>
      <c r="B122" s="189" t="s">
        <v>429</v>
      </c>
      <c r="C122" s="225" t="s">
        <v>28</v>
      </c>
      <c r="D122" s="226">
        <v>3</v>
      </c>
      <c r="E122" s="225">
        <v>1</v>
      </c>
      <c r="F122" s="28">
        <v>3000</v>
      </c>
      <c r="G122" s="227">
        <f t="shared" si="41"/>
        <v>9000</v>
      </c>
      <c r="H122" s="544">
        <f t="shared" si="42"/>
        <v>15.258375152583751</v>
      </c>
      <c r="I122" s="642">
        <f t="shared" si="43"/>
        <v>270</v>
      </c>
      <c r="J122" s="642">
        <f>250*D122</f>
        <v>750</v>
      </c>
      <c r="K122" s="642">
        <f t="shared" si="44"/>
        <v>3000</v>
      </c>
      <c r="L122" s="501"/>
      <c r="M122" s="501"/>
      <c r="N122" s="501"/>
      <c r="O122" s="565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1:46" s="34" customFormat="1" ht="16.5" thickBot="1" x14ac:dyDescent="0.3">
      <c r="A123" s="188">
        <v>5</v>
      </c>
      <c r="B123" s="189" t="s">
        <v>430</v>
      </c>
      <c r="C123" s="225" t="s">
        <v>28</v>
      </c>
      <c r="D123" s="226">
        <v>2</v>
      </c>
      <c r="E123" s="225">
        <v>2</v>
      </c>
      <c r="F123" s="227">
        <v>25000</v>
      </c>
      <c r="G123" s="227">
        <f t="shared" si="41"/>
        <v>100000</v>
      </c>
      <c r="H123" s="544">
        <f t="shared" si="42"/>
        <v>169.537501695375</v>
      </c>
      <c r="I123" s="642">
        <f t="shared" si="43"/>
        <v>3000</v>
      </c>
      <c r="J123" s="642">
        <f>1050*D123</f>
        <v>2100</v>
      </c>
      <c r="K123" s="642">
        <f t="shared" si="44"/>
        <v>50000</v>
      </c>
      <c r="L123" s="501"/>
      <c r="M123" s="501"/>
      <c r="N123" s="501"/>
      <c r="O123" s="565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 s="34" customFormat="1" ht="16.5" thickBot="1" x14ac:dyDescent="0.3">
      <c r="A124" s="188">
        <v>6</v>
      </c>
      <c r="B124" s="189" t="s">
        <v>431</v>
      </c>
      <c r="C124" s="225" t="s">
        <v>30</v>
      </c>
      <c r="D124" s="226">
        <f>3*4</f>
        <v>12</v>
      </c>
      <c r="E124" s="225">
        <v>1</v>
      </c>
      <c r="F124" s="227">
        <v>850</v>
      </c>
      <c r="G124" s="227">
        <f t="shared" si="41"/>
        <v>10200</v>
      </c>
      <c r="H124" s="544">
        <f t="shared" si="42"/>
        <v>17.29282517292825</v>
      </c>
      <c r="I124" s="642">
        <v>0</v>
      </c>
      <c r="J124" s="642">
        <v>0</v>
      </c>
      <c r="K124" s="642">
        <v>0</v>
      </c>
      <c r="L124" s="501"/>
      <c r="M124" s="501"/>
      <c r="N124" s="501"/>
      <c r="O124" s="565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 s="34" customFormat="1" ht="16.5" thickBot="1" x14ac:dyDescent="0.3">
      <c r="A125" s="188">
        <v>7</v>
      </c>
      <c r="B125" s="189" t="s">
        <v>432</v>
      </c>
      <c r="C125" s="225" t="s">
        <v>30</v>
      </c>
      <c r="D125" s="226">
        <v>0</v>
      </c>
      <c r="E125" s="226">
        <v>1</v>
      </c>
      <c r="F125" s="227">
        <v>800</v>
      </c>
      <c r="G125" s="227">
        <f t="shared" si="41"/>
        <v>0</v>
      </c>
      <c r="H125" s="544">
        <f t="shared" si="42"/>
        <v>0</v>
      </c>
      <c r="I125" s="642">
        <f t="shared" si="43"/>
        <v>0</v>
      </c>
      <c r="J125" s="642">
        <f t="shared" ref="J125" si="47">1600*D125</f>
        <v>0</v>
      </c>
      <c r="K125" s="642">
        <v>0</v>
      </c>
      <c r="L125" s="501"/>
      <c r="M125" s="501"/>
      <c r="N125" s="501"/>
      <c r="O125" s="56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s="34" customFormat="1" ht="18.75" thickBot="1" x14ac:dyDescent="0.3">
      <c r="A126" s="341"/>
      <c r="B126" s="342" t="s">
        <v>1399</v>
      </c>
      <c r="C126" s="343"/>
      <c r="D126" s="343"/>
      <c r="E126" s="343"/>
      <c r="F126" s="344"/>
      <c r="G126" s="344">
        <f>SUM(G119:G125)</f>
        <v>159200</v>
      </c>
      <c r="H126" s="516">
        <f>SUM(H119:H125)</f>
        <v>269.90370269903701</v>
      </c>
      <c r="I126" s="263">
        <f>SUM(I119:I125)</f>
        <v>4470</v>
      </c>
      <c r="J126" s="263">
        <f>SUM(J119:J125)</f>
        <v>4850</v>
      </c>
      <c r="K126" s="501"/>
      <c r="L126" s="501"/>
      <c r="M126" s="501"/>
      <c r="N126" s="501"/>
      <c r="O126" s="565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1:46" s="48" customFormat="1" ht="18.75" thickBot="1" x14ac:dyDescent="0.3">
      <c r="A127" s="18"/>
      <c r="B127" s="18" t="s">
        <v>1389</v>
      </c>
      <c r="C127" s="18"/>
      <c r="D127" s="18"/>
      <c r="E127" s="18"/>
      <c r="F127" s="18"/>
      <c r="G127" s="18"/>
      <c r="H127" s="550"/>
      <c r="I127" s="530"/>
      <c r="J127" s="501"/>
      <c r="K127" s="501"/>
      <c r="L127" s="501"/>
      <c r="M127" s="501"/>
      <c r="N127" s="501"/>
      <c r="O127" s="565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1:46" s="48" customFormat="1" ht="16.5" thickBot="1" x14ac:dyDescent="0.3">
      <c r="A128" s="411">
        <v>1</v>
      </c>
      <c r="B128" s="412" t="s">
        <v>1388</v>
      </c>
      <c r="C128" s="404" t="s">
        <v>28</v>
      </c>
      <c r="D128" s="403">
        <v>15</v>
      </c>
      <c r="E128" s="404">
        <v>1</v>
      </c>
      <c r="F128" s="405">
        <v>5000</v>
      </c>
      <c r="G128" s="444">
        <f t="shared" ref="G128:G131" si="48">D128*E128*F128</f>
        <v>75000</v>
      </c>
      <c r="H128" s="551">
        <f t="shared" ref="H128:H131" si="49">G128/589.84</f>
        <v>127.15312627153125</v>
      </c>
      <c r="I128" s="642">
        <f t="shared" ref="I128:I129" si="50">G128*0.03</f>
        <v>2250</v>
      </c>
      <c r="J128" s="642">
        <f>250*D128</f>
        <v>3750</v>
      </c>
      <c r="K128" s="642">
        <f t="shared" ref="K128:K129" si="51">G128/D128</f>
        <v>5000</v>
      </c>
      <c r="L128" s="501"/>
      <c r="M128" s="501"/>
      <c r="N128" s="501"/>
      <c r="O128" s="565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1:47" s="48" customFormat="1" ht="16.5" thickBot="1" x14ac:dyDescent="0.3">
      <c r="A129" s="188">
        <v>2</v>
      </c>
      <c r="B129" s="412" t="s">
        <v>1474</v>
      </c>
      <c r="C129" s="404" t="s">
        <v>1475</v>
      </c>
      <c r="D129" s="403">
        <v>2</v>
      </c>
      <c r="E129" s="404">
        <v>1</v>
      </c>
      <c r="F129" s="405">
        <v>50000</v>
      </c>
      <c r="G129" s="405">
        <f t="shared" si="48"/>
        <v>100000</v>
      </c>
      <c r="H129" s="551">
        <f t="shared" si="49"/>
        <v>169.537501695375</v>
      </c>
      <c r="I129" s="642">
        <f t="shared" si="50"/>
        <v>3000</v>
      </c>
      <c r="J129" s="642">
        <f>1050*D129</f>
        <v>2100</v>
      </c>
      <c r="K129" s="642">
        <f t="shared" si="51"/>
        <v>50000</v>
      </c>
      <c r="L129" s="501"/>
      <c r="M129" s="501"/>
      <c r="N129" s="501"/>
      <c r="O129" s="565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1:47" ht="18.75" thickBot="1" x14ac:dyDescent="0.3">
      <c r="A130" s="341"/>
      <c r="B130" s="342" t="s">
        <v>1422</v>
      </c>
      <c r="C130" s="343"/>
      <c r="D130" s="343"/>
      <c r="E130" s="343"/>
      <c r="F130" s="344"/>
      <c r="G130" s="344">
        <f>SUM(G128:G129)</f>
        <v>175000</v>
      </c>
      <c r="H130" s="516">
        <f>SUM(H128:H129)</f>
        <v>296.69062796690628</v>
      </c>
      <c r="I130" s="263">
        <f>SUM(I128:I129)</f>
        <v>5250</v>
      </c>
      <c r="J130" s="263">
        <f>SUM(J128:J129)</f>
        <v>5850</v>
      </c>
      <c r="K130" s="12"/>
      <c r="L130" s="12"/>
      <c r="M130" s="12"/>
      <c r="N130" s="12"/>
      <c r="O130" s="524"/>
    </row>
    <row r="131" spans="1:47" s="48" customFormat="1" ht="15" customHeight="1" thickBot="1" x14ac:dyDescent="0.3">
      <c r="A131" s="411">
        <v>1</v>
      </c>
      <c r="B131" s="41" t="s">
        <v>1424</v>
      </c>
      <c r="C131" s="404"/>
      <c r="D131" s="403">
        <v>1</v>
      </c>
      <c r="E131" s="404">
        <v>1</v>
      </c>
      <c r="F131" s="444">
        <v>100000</v>
      </c>
      <c r="G131" s="444">
        <f t="shared" si="48"/>
        <v>100000</v>
      </c>
      <c r="H131" s="551">
        <f t="shared" si="49"/>
        <v>169.537501695375</v>
      </c>
      <c r="I131" s="642">
        <f>G131*0.03</f>
        <v>3000</v>
      </c>
      <c r="J131" s="642">
        <f>1600*D131</f>
        <v>1600</v>
      </c>
      <c r="K131" s="642">
        <f t="shared" ref="K131" si="52">G131/D131</f>
        <v>100000</v>
      </c>
      <c r="L131" s="501"/>
      <c r="M131" s="501"/>
      <c r="N131" s="501"/>
      <c r="O131" s="565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1:47" s="48" customFormat="1" ht="18" x14ac:dyDescent="0.25">
      <c r="A132" s="18"/>
      <c r="B132" s="441" t="s">
        <v>1425</v>
      </c>
      <c r="C132" s="18"/>
      <c r="D132" s="18"/>
      <c r="E132" s="18"/>
      <c r="F132" s="18"/>
      <c r="G132" s="18"/>
      <c r="H132" s="550"/>
      <c r="I132" s="530"/>
      <c r="J132" s="501"/>
      <c r="K132" s="501"/>
      <c r="L132" s="501"/>
      <c r="M132" s="501"/>
      <c r="N132" s="501"/>
      <c r="O132" s="565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1:47" s="48" customFormat="1" x14ac:dyDescent="0.25">
      <c r="A133" s="595">
        <v>1</v>
      </c>
      <c r="B133" s="575" t="s">
        <v>1391</v>
      </c>
      <c r="C133" s="575" t="s">
        <v>17</v>
      </c>
      <c r="D133" s="576">
        <v>200</v>
      </c>
      <c r="E133" s="576">
        <v>1</v>
      </c>
      <c r="F133" s="405">
        <v>800</v>
      </c>
      <c r="G133" s="424">
        <f>+D133*E133*F133</f>
        <v>160000</v>
      </c>
      <c r="H133" s="425">
        <f>+G133/589.84</f>
        <v>271.2600027126</v>
      </c>
      <c r="I133" s="530"/>
      <c r="J133" s="501"/>
      <c r="K133" s="501"/>
      <c r="L133" s="501"/>
      <c r="M133" s="501"/>
      <c r="N133" s="501"/>
      <c r="O133" s="565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1:47" s="430" customFormat="1" x14ac:dyDescent="0.25">
      <c r="A134" s="578">
        <v>2</v>
      </c>
      <c r="B134" s="577" t="s">
        <v>1339</v>
      </c>
      <c r="C134" s="577" t="s">
        <v>28</v>
      </c>
      <c r="D134" s="578">
        <v>1</v>
      </c>
      <c r="E134" s="578">
        <v>1</v>
      </c>
      <c r="F134" s="405">
        <v>8000</v>
      </c>
      <c r="G134" s="25">
        <f t="shared" ref="G134:G135" si="53">+D134*E134*F134</f>
        <v>8000</v>
      </c>
      <c r="H134" s="515">
        <f t="shared" ref="H134:H135" si="54">+G134/589.84</f>
        <v>13.56300013563</v>
      </c>
      <c r="I134" s="642">
        <f t="shared" ref="I134:I135" si="55">G134*0.03</f>
        <v>240</v>
      </c>
      <c r="J134" s="642">
        <f>350*D134</f>
        <v>350</v>
      </c>
      <c r="K134" s="642">
        <f t="shared" ref="K134:K135" si="56">G134/D134</f>
        <v>8000</v>
      </c>
      <c r="L134" s="501"/>
      <c r="M134" s="501"/>
      <c r="N134" s="501"/>
      <c r="O134" s="565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 s="499"/>
    </row>
    <row r="135" spans="1:47" s="430" customFormat="1" ht="16.5" thickBot="1" x14ac:dyDescent="0.3">
      <c r="A135" s="578">
        <v>3</v>
      </c>
      <c r="B135" s="577" t="s">
        <v>1394</v>
      </c>
      <c r="C135" s="577" t="s">
        <v>28</v>
      </c>
      <c r="D135" s="578">
        <v>1</v>
      </c>
      <c r="E135" s="578">
        <v>1</v>
      </c>
      <c r="F135" s="405">
        <v>8000</v>
      </c>
      <c r="G135" s="25">
        <f t="shared" si="53"/>
        <v>8000</v>
      </c>
      <c r="H135" s="515">
        <f t="shared" si="54"/>
        <v>13.56300013563</v>
      </c>
      <c r="I135" s="642">
        <f t="shared" si="55"/>
        <v>240</v>
      </c>
      <c r="J135" s="642">
        <f>350*D135</f>
        <v>350</v>
      </c>
      <c r="K135" s="642">
        <f t="shared" si="56"/>
        <v>8000</v>
      </c>
      <c r="L135" s="501"/>
      <c r="M135" s="501"/>
      <c r="N135" s="501"/>
      <c r="O135" s="56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 s="499"/>
    </row>
    <row r="136" spans="1:47" s="34" customFormat="1" ht="18.75" thickBot="1" x14ac:dyDescent="0.3">
      <c r="A136" s="341"/>
      <c r="B136" s="342" t="s">
        <v>1399</v>
      </c>
      <c r="C136" s="343"/>
      <c r="D136" s="343"/>
      <c r="E136" s="343"/>
      <c r="F136" s="344"/>
      <c r="G136" s="344">
        <f>SUM(G127:G132)</f>
        <v>450000</v>
      </c>
      <c r="H136" s="516">
        <f>SUM(H128:H132)</f>
        <v>762.91875762918755</v>
      </c>
      <c r="I136" s="263">
        <f>SUM(I134:I135)</f>
        <v>480</v>
      </c>
      <c r="J136" s="263">
        <f>SUM(J134:J135)</f>
        <v>700</v>
      </c>
      <c r="K136" s="555"/>
      <c r="L136" s="555"/>
      <c r="M136" s="555"/>
      <c r="N136" s="555"/>
      <c r="O136" s="56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1:47" s="34" customFormat="1" ht="24" thickBot="1" x14ac:dyDescent="0.4">
      <c r="A137" s="784" t="s">
        <v>91</v>
      </c>
      <c r="B137" s="785"/>
      <c r="C137" s="785"/>
      <c r="D137" s="785"/>
      <c r="E137" s="786"/>
      <c r="F137" s="351"/>
      <c r="G137" s="352">
        <f>SUM(G136+G131+G130+G126+G116+G100+G93+G85+G65+G41+G30+G23+G16)</f>
        <v>6532700</v>
      </c>
      <c r="H137" s="593">
        <f>SUM(H136+H131+H126+H116+H100+H93+H85+H65+H41+H30+H23+H16)</f>
        <v>10778.685745286857</v>
      </c>
      <c r="I137" s="352">
        <f>I16+I23+I30+I41+I85+I93+I100+I116+I126+I130+I131+I136</f>
        <v>134835</v>
      </c>
      <c r="J137" s="352">
        <f>J16+J23+J30+J41+J85+J93+J100+J116+J126+J130+J131+J136</f>
        <v>136250</v>
      </c>
      <c r="K137" s="555"/>
      <c r="L137" s="555"/>
      <c r="M137" s="555"/>
      <c r="N137" s="555"/>
      <c r="O137" s="566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1:47" s="34" customFormat="1" x14ac:dyDescent="0.25">
      <c r="A138" s="238"/>
      <c r="B138" s="238"/>
      <c r="C138" s="238"/>
      <c r="D138" s="237"/>
      <c r="E138" s="237"/>
      <c r="F138" s="237"/>
      <c r="G138" s="237"/>
      <c r="H138" s="237"/>
      <c r="I138" s="564"/>
      <c r="J138" s="564"/>
      <c r="K138" s="564"/>
      <c r="L138" s="564"/>
      <c r="M138" s="564"/>
      <c r="N138" s="564"/>
      <c r="O138" s="564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1:47" s="34" customFormat="1" x14ac:dyDescent="0.25">
      <c r="A139" s="238" t="s">
        <v>1535</v>
      </c>
      <c r="B139" s="238"/>
      <c r="C139" s="237"/>
      <c r="D139" s="237"/>
      <c r="E139" s="237"/>
      <c r="F139" s="237"/>
      <c r="G139" s="237"/>
      <c r="H139" s="237"/>
      <c r="I139" s="564"/>
      <c r="J139" s="564"/>
      <c r="K139" s="564"/>
      <c r="L139" s="564"/>
      <c r="M139" s="564"/>
      <c r="N139" s="564"/>
      <c r="O139" s="564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1:47" s="34" customFormat="1" x14ac:dyDescent="0.25">
      <c r="A140" s="238" t="s">
        <v>1538</v>
      </c>
      <c r="B140" s="238"/>
      <c r="C140" s="237"/>
      <c r="D140" s="237"/>
      <c r="E140" s="237"/>
      <c r="F140" s="237"/>
      <c r="G140" s="237"/>
      <c r="H140" s="237"/>
      <c r="I140" s="564"/>
      <c r="J140" s="564"/>
      <c r="K140" s="564"/>
      <c r="L140" s="564"/>
      <c r="M140" s="564"/>
      <c r="N140" s="564"/>
      <c r="O140" s="564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1:47" s="34" customFormat="1" x14ac:dyDescent="0.25">
      <c r="A141" s="238"/>
      <c r="B141" s="238"/>
      <c r="C141" s="237"/>
      <c r="D141" s="237"/>
      <c r="E141" s="237"/>
      <c r="F141" s="237"/>
      <c r="G141" s="237"/>
      <c r="H141" s="237"/>
      <c r="I141" s="564"/>
      <c r="J141" s="564"/>
      <c r="K141" s="564"/>
      <c r="L141" s="564"/>
      <c r="M141" s="564"/>
      <c r="N141" s="564"/>
      <c r="O141" s="564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1:47" s="34" customFormat="1" x14ac:dyDescent="0.25">
      <c r="A142" s="238" t="s">
        <v>1331</v>
      </c>
      <c r="B142" s="238"/>
      <c r="C142" s="237"/>
      <c r="D142" s="237"/>
      <c r="E142" s="237"/>
      <c r="F142" s="237"/>
      <c r="G142" s="237"/>
      <c r="H142" s="237"/>
      <c r="I142" s="564" t="s">
        <v>1536</v>
      </c>
      <c r="J142" s="564"/>
      <c r="K142" s="564"/>
      <c r="L142" s="564"/>
      <c r="M142" s="564" t="s">
        <v>1530</v>
      </c>
      <c r="N142" s="564"/>
      <c r="O142" s="5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1:47" s="34" customFormat="1" x14ac:dyDescent="0.25">
      <c r="A143" s="237"/>
      <c r="B143" s="239"/>
      <c r="C143" s="237"/>
      <c r="D143" s="237"/>
      <c r="E143" s="237"/>
      <c r="F143" s="237"/>
      <c r="G143" s="237"/>
      <c r="H143" s="237"/>
      <c r="I143" s="564"/>
      <c r="J143" s="564"/>
      <c r="K143" s="564"/>
      <c r="L143" s="564"/>
      <c r="M143" s="564"/>
      <c r="N143" s="564"/>
      <c r="O143" s="542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1:47" s="34" customFormat="1" x14ac:dyDescent="0.25">
      <c r="A144" s="240" t="s">
        <v>1537</v>
      </c>
      <c r="B144" s="241"/>
      <c r="C144" s="240"/>
      <c r="D144" s="240"/>
      <c r="E144" s="240"/>
      <c r="F144" s="240"/>
      <c r="G144" s="240"/>
      <c r="H144" s="237"/>
      <c r="I144" s="564"/>
      <c r="J144" s="564"/>
      <c r="K144" s="564"/>
      <c r="L144" s="564"/>
      <c r="M144" s="564"/>
      <c r="N144" s="564"/>
      <c r="O144" s="56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1:46" s="34" customFormat="1" x14ac:dyDescent="0.25">
      <c r="A145" s="240"/>
      <c r="B145" s="241"/>
      <c r="C145" s="240"/>
      <c r="D145" s="240"/>
      <c r="E145" s="240"/>
      <c r="F145" s="240"/>
      <c r="G145" s="237"/>
      <c r="H145" s="237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1:46" s="34" customFormat="1" x14ac:dyDescent="0.25">
      <c r="A146" s="240"/>
      <c r="B146" s="241"/>
      <c r="C146" s="240"/>
      <c r="D146" s="240"/>
      <c r="E146" s="240"/>
      <c r="F146" s="240"/>
      <c r="G146" s="240"/>
      <c r="H146" s="240"/>
      <c r="I146" s="236"/>
      <c r="J146" s="236"/>
      <c r="K146" s="236"/>
      <c r="L146" s="236"/>
      <c r="M146" s="236"/>
      <c r="N146" s="236"/>
      <c r="O146" s="23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1:46" s="34" customFormat="1" x14ac:dyDescent="0.25">
      <c r="A147" s="240"/>
      <c r="B147" s="241"/>
      <c r="C147" s="240"/>
      <c r="D147" s="240"/>
      <c r="E147" s="240"/>
      <c r="F147" s="240"/>
      <c r="G147" s="240"/>
      <c r="H147" s="240"/>
      <c r="I147" s="236"/>
      <c r="J147" s="236"/>
      <c r="K147" s="236"/>
      <c r="L147" s="236"/>
      <c r="M147" s="236"/>
      <c r="N147" s="236"/>
      <c r="O147" s="236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1:46" s="34" customFormat="1" x14ac:dyDescent="0.25">
      <c r="A148" s="240"/>
      <c r="B148" s="241"/>
      <c r="C148" s="240"/>
      <c r="D148" s="240"/>
      <c r="E148" s="240"/>
      <c r="F148" s="240"/>
      <c r="G148" s="240"/>
      <c r="H148" s="240"/>
      <c r="I148" s="236"/>
      <c r="J148" s="236"/>
      <c r="K148" s="236"/>
      <c r="L148" s="236"/>
      <c r="M148" s="236"/>
      <c r="N148" s="236"/>
      <c r="O148" s="236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</row>
    <row r="149" spans="1:46" s="34" customFormat="1" x14ac:dyDescent="0.25">
      <c r="A149" s="240"/>
      <c r="B149" s="241"/>
      <c r="C149" s="240"/>
      <c r="D149" s="240"/>
      <c r="E149" s="240"/>
      <c r="F149" s="240"/>
      <c r="G149" s="240"/>
      <c r="H149" s="240"/>
      <c r="I149" s="236"/>
      <c r="J149" s="236"/>
      <c r="K149" s="236"/>
      <c r="L149" s="236"/>
      <c r="M149" s="236"/>
      <c r="N149" s="236"/>
      <c r="O149" s="236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</row>
    <row r="150" spans="1:46" s="34" customFormat="1" x14ac:dyDescent="0.25">
      <c r="A150" s="240"/>
      <c r="B150" s="241"/>
      <c r="C150" s="240"/>
      <c r="D150" s="240"/>
      <c r="E150" s="240"/>
      <c r="F150" s="240"/>
      <c r="G150" s="240"/>
      <c r="H150" s="240"/>
      <c r="I150" s="236"/>
      <c r="J150" s="236"/>
      <c r="K150" s="236"/>
      <c r="L150" s="236"/>
      <c r="M150" s="236"/>
      <c r="N150" s="236"/>
      <c r="O150" s="236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</row>
  </sheetData>
  <mergeCells count="7">
    <mergeCell ref="A7:F7"/>
    <mergeCell ref="O7:O8"/>
    <mergeCell ref="A42:E42"/>
    <mergeCell ref="A137:E137"/>
    <mergeCell ref="A65:E65"/>
    <mergeCell ref="A101:E101"/>
    <mergeCell ref="A116:E1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2AF22A"/>
  </sheetPr>
  <dimension ref="A1:AO348"/>
  <sheetViews>
    <sheetView topLeftCell="B150" zoomScale="90" zoomScaleNormal="90" workbookViewId="0">
      <selection activeCell="D162" sqref="D162"/>
    </sheetView>
  </sheetViews>
  <sheetFormatPr baseColWidth="10" defaultColWidth="10.625" defaultRowHeight="15.75" x14ac:dyDescent="0.25"/>
  <cols>
    <col min="1" max="1" width="8.75" style="48" customWidth="1"/>
    <col min="2" max="2" width="58.375" style="48" customWidth="1"/>
    <col min="3" max="3" width="20" style="48" customWidth="1"/>
    <col min="4" max="4" width="17.375" style="48" customWidth="1"/>
    <col min="5" max="5" width="12.375" style="48" customWidth="1"/>
    <col min="6" max="6" width="17" style="48" customWidth="1"/>
    <col min="7" max="7" width="25.5" style="48" customWidth="1"/>
    <col min="8" max="8" width="16.875" customWidth="1"/>
    <col min="9" max="10" width="20.875" customWidth="1"/>
    <col min="11" max="11" width="18.375" customWidth="1"/>
    <col min="12" max="256" width="8.875" customWidth="1"/>
  </cols>
  <sheetData>
    <row r="1" spans="1:15" x14ac:dyDescent="0.25">
      <c r="A1" s="207" t="s">
        <v>1344</v>
      </c>
      <c r="B1" s="207"/>
      <c r="C1" s="207"/>
      <c r="D1" s="207"/>
      <c r="E1" s="207"/>
      <c r="F1" s="207"/>
      <c r="G1" s="207"/>
      <c r="H1" s="207"/>
      <c r="I1" s="208"/>
      <c r="J1" s="208"/>
      <c r="K1" s="208"/>
      <c r="L1" s="208"/>
      <c r="M1" s="208"/>
      <c r="N1" s="208"/>
      <c r="O1" s="208"/>
    </row>
    <row r="2" spans="1:15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208"/>
      <c r="J2" s="208"/>
      <c r="K2" s="208"/>
      <c r="L2" s="208"/>
      <c r="M2" s="208"/>
      <c r="N2" s="208"/>
      <c r="O2" s="208"/>
    </row>
    <row r="3" spans="1:15" x14ac:dyDescent="0.25">
      <c r="A3" s="207" t="s">
        <v>1520</v>
      </c>
      <c r="B3" s="207"/>
      <c r="C3" s="207"/>
      <c r="D3" s="207"/>
      <c r="E3" s="207"/>
      <c r="F3" s="207"/>
      <c r="G3" s="207"/>
      <c r="H3" s="207"/>
      <c r="I3" s="208"/>
      <c r="J3" s="208"/>
      <c r="K3" s="208"/>
      <c r="L3" s="208"/>
      <c r="M3" s="208"/>
      <c r="N3" s="208"/>
      <c r="O3" s="208"/>
    </row>
    <row r="4" spans="1:15" x14ac:dyDescent="0.25">
      <c r="A4" s="207" t="s">
        <v>1</v>
      </c>
      <c r="B4" s="207"/>
      <c r="C4" s="207"/>
      <c r="D4" s="207"/>
      <c r="E4" s="207"/>
      <c r="F4" s="207"/>
      <c r="G4" s="207"/>
      <c r="H4" s="207"/>
      <c r="I4" s="208"/>
      <c r="J4" s="208"/>
      <c r="K4" s="208"/>
      <c r="L4" s="208"/>
      <c r="M4" s="208"/>
      <c r="N4" s="208"/>
      <c r="O4" s="208"/>
    </row>
    <row r="5" spans="1:15" x14ac:dyDescent="0.25">
      <c r="A5" s="207" t="s">
        <v>485</v>
      </c>
      <c r="B5" s="207"/>
      <c r="C5" s="209">
        <f>G328</f>
        <v>52937500</v>
      </c>
      <c r="D5" s="594">
        <f>H328</f>
        <v>89748.914959989139</v>
      </c>
      <c r="E5" s="207"/>
      <c r="F5" s="207"/>
      <c r="G5" s="207"/>
      <c r="H5" s="207"/>
      <c r="I5" s="208"/>
      <c r="J5" s="208"/>
      <c r="K5" s="208"/>
      <c r="L5" s="208"/>
      <c r="M5" s="208"/>
      <c r="N5" s="208"/>
      <c r="O5" s="208"/>
    </row>
    <row r="6" spans="1:15" ht="16.5" thickBot="1" x14ac:dyDescent="0.3">
      <c r="A6" s="207" t="s">
        <v>1539</v>
      </c>
      <c r="B6" s="207"/>
      <c r="C6" s="207"/>
      <c r="D6" s="207"/>
      <c r="E6" s="207"/>
      <c r="F6" s="207"/>
      <c r="G6" s="207"/>
      <c r="H6" s="207"/>
      <c r="I6" s="208"/>
      <c r="J6" s="208"/>
      <c r="K6" s="208"/>
      <c r="L6" s="208"/>
      <c r="M6" s="208"/>
      <c r="N6" s="208"/>
      <c r="O6" s="208"/>
    </row>
    <row r="7" spans="1:15" ht="17.25" customHeight="1" thickBot="1" x14ac:dyDescent="0.3">
      <c r="A7" s="773" t="s">
        <v>3</v>
      </c>
      <c r="B7" s="774"/>
      <c r="C7" s="774"/>
      <c r="D7" s="774"/>
      <c r="E7" s="774"/>
      <c r="F7" s="774"/>
      <c r="G7" s="570"/>
      <c r="H7" s="571"/>
      <c r="I7" s="535" t="s">
        <v>4</v>
      </c>
      <c r="J7" s="534"/>
      <c r="K7" s="535"/>
      <c r="L7" s="535"/>
      <c r="M7" s="535"/>
      <c r="N7" s="536"/>
      <c r="O7" s="775" t="s">
        <v>5</v>
      </c>
    </row>
    <row r="8" spans="1:15" ht="26.25" thickBot="1" x14ac:dyDescent="0.3">
      <c r="A8" s="211" t="s">
        <v>1540</v>
      </c>
      <c r="B8" s="212" t="s">
        <v>1533</v>
      </c>
      <c r="C8" s="212" t="s">
        <v>8</v>
      </c>
      <c r="D8" s="213" t="s">
        <v>9</v>
      </c>
      <c r="E8" s="212" t="s">
        <v>10</v>
      </c>
      <c r="F8" s="213" t="s">
        <v>11</v>
      </c>
      <c r="G8" s="214" t="s">
        <v>12</v>
      </c>
      <c r="H8" s="579" t="s">
        <v>1532</v>
      </c>
      <c r="I8" s="580" t="s">
        <v>1533</v>
      </c>
      <c r="J8" s="543" t="s">
        <v>7</v>
      </c>
      <c r="K8" s="540" t="s">
        <v>13</v>
      </c>
      <c r="L8" s="540" t="s">
        <v>14</v>
      </c>
      <c r="M8" s="540" t="s">
        <v>15</v>
      </c>
      <c r="N8" s="541" t="s">
        <v>16</v>
      </c>
      <c r="O8" s="776"/>
    </row>
    <row r="9" spans="1:15" ht="61.5" thickBot="1" x14ac:dyDescent="0.3">
      <c r="A9" s="590"/>
      <c r="B9" s="591" t="s">
        <v>1389</v>
      </c>
      <c r="C9" s="589"/>
      <c r="D9" s="589"/>
      <c r="E9" s="589"/>
      <c r="F9" s="589"/>
      <c r="G9" s="538"/>
      <c r="H9" s="574"/>
      <c r="I9" s="695" t="s">
        <v>1613</v>
      </c>
      <c r="J9" s="696" t="s">
        <v>1624</v>
      </c>
      <c r="K9" s="543"/>
      <c r="L9" s="543"/>
      <c r="M9" s="597"/>
      <c r="N9" s="597"/>
      <c r="O9" s="500"/>
    </row>
    <row r="10" spans="1:15" ht="16.5" thickBot="1" x14ac:dyDescent="0.3">
      <c r="A10" s="201"/>
      <c r="B10" s="202"/>
      <c r="C10" s="202"/>
      <c r="D10" s="203"/>
      <c r="E10" s="202"/>
      <c r="F10" s="203"/>
      <c r="G10" s="204"/>
      <c r="H10" s="204"/>
      <c r="I10" s="543"/>
      <c r="J10" s="543"/>
      <c r="K10" s="543"/>
      <c r="L10" s="543"/>
      <c r="M10" s="597"/>
      <c r="N10" s="597"/>
      <c r="O10" s="500"/>
    </row>
    <row r="11" spans="1:15" ht="16.5" thickBot="1" x14ac:dyDescent="0.3">
      <c r="A11" s="22">
        <v>1</v>
      </c>
      <c r="B11" s="26" t="s">
        <v>1124</v>
      </c>
      <c r="C11" s="23" t="s">
        <v>28</v>
      </c>
      <c r="D11" s="24">
        <v>4</v>
      </c>
      <c r="E11" s="23">
        <v>10</v>
      </c>
      <c r="F11" s="25">
        <v>7500</v>
      </c>
      <c r="G11" s="346">
        <f t="shared" ref="G11:G16" si="0">D11*E11*F11</f>
        <v>300000</v>
      </c>
      <c r="H11" s="544">
        <f>G11/589.84</f>
        <v>508.612505086125</v>
      </c>
      <c r="I11" s="642">
        <f>G11*0.03</f>
        <v>9000</v>
      </c>
      <c r="J11" s="642">
        <f>1600*D11</f>
        <v>6400</v>
      </c>
      <c r="K11" s="642">
        <f>G11/D11</f>
        <v>75000</v>
      </c>
      <c r="L11" s="501"/>
      <c r="M11" s="501"/>
      <c r="N11" s="501"/>
      <c r="O11" s="500"/>
    </row>
    <row r="12" spans="1:15" x14ac:dyDescent="0.25">
      <c r="A12" s="22">
        <v>2</v>
      </c>
      <c r="B12" s="26" t="s">
        <v>1125</v>
      </c>
      <c r="C12" s="23" t="s">
        <v>28</v>
      </c>
      <c r="D12" s="24">
        <v>2</v>
      </c>
      <c r="E12" s="23">
        <v>10</v>
      </c>
      <c r="F12" s="25">
        <v>3000</v>
      </c>
      <c r="G12" s="25">
        <f t="shared" si="0"/>
        <v>60000</v>
      </c>
      <c r="H12" s="268">
        <f t="shared" ref="H12:H16" si="1">G12/589.84</f>
        <v>101.722501017225</v>
      </c>
      <c r="I12" s="642">
        <f t="shared" ref="I12:I16" si="2">G12*0.03</f>
        <v>1800</v>
      </c>
      <c r="J12" s="642">
        <f>1050*D12</f>
        <v>2100</v>
      </c>
      <c r="K12" s="642">
        <f t="shared" ref="K12:K16" si="3">G12/D12</f>
        <v>30000</v>
      </c>
      <c r="L12" s="501"/>
      <c r="M12" s="501"/>
      <c r="N12" s="501"/>
      <c r="O12" s="500"/>
    </row>
    <row r="13" spans="1:15" x14ac:dyDescent="0.25">
      <c r="A13" s="22">
        <v>3</v>
      </c>
      <c r="B13" s="26" t="s">
        <v>1126</v>
      </c>
      <c r="C13" s="23" t="s">
        <v>28</v>
      </c>
      <c r="D13" s="24">
        <v>1</v>
      </c>
      <c r="E13" s="23">
        <v>10</v>
      </c>
      <c r="F13" s="25">
        <v>7500</v>
      </c>
      <c r="G13" s="25">
        <f t="shared" si="0"/>
        <v>75000</v>
      </c>
      <c r="H13" s="268">
        <f t="shared" si="1"/>
        <v>127.15312627153125</v>
      </c>
      <c r="I13" s="642">
        <f t="shared" si="2"/>
        <v>2250</v>
      </c>
      <c r="J13" s="642">
        <f>1600*D13</f>
        <v>1600</v>
      </c>
      <c r="K13" s="642">
        <f t="shared" si="3"/>
        <v>75000</v>
      </c>
      <c r="L13" s="501"/>
      <c r="M13" s="501"/>
      <c r="N13" s="501"/>
      <c r="O13" s="500"/>
    </row>
    <row r="14" spans="1:15" x14ac:dyDescent="0.25">
      <c r="A14" s="22">
        <v>4</v>
      </c>
      <c r="B14" s="26" t="s">
        <v>1366</v>
      </c>
      <c r="C14" s="23" t="s">
        <v>28</v>
      </c>
      <c r="D14" s="24">
        <v>15</v>
      </c>
      <c r="E14" s="23">
        <v>7</v>
      </c>
      <c r="F14" s="25">
        <v>3000</v>
      </c>
      <c r="G14" s="25">
        <f t="shared" si="0"/>
        <v>315000</v>
      </c>
      <c r="H14" s="268">
        <f t="shared" si="1"/>
        <v>534.04313034043128</v>
      </c>
      <c r="I14" s="642">
        <f t="shared" si="2"/>
        <v>9450</v>
      </c>
      <c r="J14" s="642">
        <f>550*D14</f>
        <v>8250</v>
      </c>
      <c r="K14" s="642">
        <f t="shared" si="3"/>
        <v>21000</v>
      </c>
      <c r="L14" s="501"/>
      <c r="M14" s="501"/>
      <c r="N14" s="501"/>
      <c r="O14" s="500"/>
    </row>
    <row r="15" spans="1:15" x14ac:dyDescent="0.25">
      <c r="A15" s="22">
        <v>5</v>
      </c>
      <c r="B15" s="26" t="s">
        <v>1338</v>
      </c>
      <c r="C15" s="23" t="s">
        <v>28</v>
      </c>
      <c r="D15" s="24">
        <v>1</v>
      </c>
      <c r="E15" s="23">
        <v>10</v>
      </c>
      <c r="F15" s="25">
        <v>8000</v>
      </c>
      <c r="G15" s="25">
        <f t="shared" si="0"/>
        <v>80000</v>
      </c>
      <c r="H15" s="268">
        <f t="shared" ref="H15" si="4">G15/589.84</f>
        <v>135.6300013563</v>
      </c>
      <c r="I15" s="642">
        <f t="shared" si="2"/>
        <v>2400</v>
      </c>
      <c r="J15" s="642">
        <f>1600*D15</f>
        <v>1600</v>
      </c>
      <c r="K15" s="642">
        <f t="shared" si="3"/>
        <v>80000</v>
      </c>
      <c r="L15" s="501"/>
      <c r="M15" s="501"/>
      <c r="N15" s="501"/>
      <c r="O15" s="500"/>
    </row>
    <row r="16" spans="1:15" ht="16.5" thickBot="1" x14ac:dyDescent="0.3">
      <c r="A16" s="22">
        <v>6</v>
      </c>
      <c r="B16" s="26" t="s">
        <v>1127</v>
      </c>
      <c r="C16" s="23" t="s">
        <v>28</v>
      </c>
      <c r="D16" s="24">
        <v>1</v>
      </c>
      <c r="E16" s="23">
        <v>10</v>
      </c>
      <c r="F16" s="25">
        <v>8000</v>
      </c>
      <c r="G16" s="25">
        <f t="shared" si="0"/>
        <v>80000</v>
      </c>
      <c r="H16" s="268">
        <f t="shared" si="1"/>
        <v>135.6300013563</v>
      </c>
      <c r="I16" s="642">
        <f t="shared" si="2"/>
        <v>2400</v>
      </c>
      <c r="J16" s="642">
        <f>1600*D16</f>
        <v>1600</v>
      </c>
      <c r="K16" s="642">
        <f t="shared" si="3"/>
        <v>80000</v>
      </c>
      <c r="L16" s="501"/>
      <c r="M16" s="501"/>
      <c r="N16" s="501"/>
      <c r="O16" s="500"/>
    </row>
    <row r="17" spans="1:15" ht="18.75" thickBot="1" x14ac:dyDescent="0.3">
      <c r="A17" s="341"/>
      <c r="B17" s="342" t="s">
        <v>1399</v>
      </c>
      <c r="C17" s="343"/>
      <c r="D17" s="343"/>
      <c r="E17" s="343"/>
      <c r="F17" s="344"/>
      <c r="G17" s="344">
        <f>SUM(G11:G16)</f>
        <v>910000</v>
      </c>
      <c r="H17" s="516">
        <f>SUM(H11:H16)</f>
        <v>1542.7912654279125</v>
      </c>
      <c r="I17" s="263">
        <f>SUM(I11:I16)</f>
        <v>27300</v>
      </c>
      <c r="J17" s="263">
        <f>SUM(J11:J16)</f>
        <v>21550</v>
      </c>
      <c r="K17" s="12"/>
      <c r="L17" s="501"/>
      <c r="M17" s="501"/>
      <c r="N17" s="501"/>
      <c r="O17" s="500"/>
    </row>
    <row r="18" spans="1:15" ht="16.5" thickBot="1" x14ac:dyDescent="0.3">
      <c r="A18" s="22">
        <v>1</v>
      </c>
      <c r="B18" s="26" t="s">
        <v>1128</v>
      </c>
      <c r="C18" s="23" t="s">
        <v>28</v>
      </c>
      <c r="D18" s="24">
        <v>4</v>
      </c>
      <c r="E18" s="23">
        <v>10</v>
      </c>
      <c r="F18" s="25">
        <v>7500</v>
      </c>
      <c r="G18" s="25">
        <f t="shared" ref="G18:G23" si="5">D18*E18*F18</f>
        <v>300000</v>
      </c>
      <c r="H18" s="544">
        <f>G18/589.84</f>
        <v>508.612505086125</v>
      </c>
      <c r="I18" s="642">
        <f>G18*0.03</f>
        <v>9000</v>
      </c>
      <c r="J18" s="642">
        <f>1600*D18</f>
        <v>6400</v>
      </c>
      <c r="K18" s="642">
        <f>G18/D18</f>
        <v>75000</v>
      </c>
      <c r="L18" s="501"/>
      <c r="M18" s="501"/>
      <c r="N18" s="501"/>
      <c r="O18" s="500"/>
    </row>
    <row r="19" spans="1:15" x14ac:dyDescent="0.25">
      <c r="A19" s="22">
        <v>2</v>
      </c>
      <c r="B19" s="26" t="s">
        <v>1129</v>
      </c>
      <c r="C19" s="23" t="s">
        <v>28</v>
      </c>
      <c r="D19" s="24">
        <v>2</v>
      </c>
      <c r="E19" s="23">
        <v>10</v>
      </c>
      <c r="F19" s="25">
        <v>3000</v>
      </c>
      <c r="G19" s="25">
        <f t="shared" si="5"/>
        <v>60000</v>
      </c>
      <c r="H19" s="268">
        <f t="shared" ref="H19:H23" si="6">G19/589.84</f>
        <v>101.722501017225</v>
      </c>
      <c r="I19" s="642">
        <f t="shared" ref="I19:I23" si="7">G19*0.03</f>
        <v>1800</v>
      </c>
      <c r="J19" s="642">
        <f>1050*D19</f>
        <v>2100</v>
      </c>
      <c r="K19" s="642">
        <f t="shared" ref="K19:K23" si="8">G19/D19</f>
        <v>30000</v>
      </c>
      <c r="L19" s="501"/>
      <c r="M19" s="501"/>
      <c r="N19" s="501"/>
      <c r="O19" s="500"/>
    </row>
    <row r="20" spans="1:15" x14ac:dyDescent="0.25">
      <c r="A20" s="22">
        <v>3</v>
      </c>
      <c r="B20" s="26" t="s">
        <v>1130</v>
      </c>
      <c r="C20" s="23" t="s">
        <v>28</v>
      </c>
      <c r="D20" s="24">
        <v>1</v>
      </c>
      <c r="E20" s="23">
        <v>10</v>
      </c>
      <c r="F20" s="25">
        <v>7500</v>
      </c>
      <c r="G20" s="25">
        <f t="shared" si="5"/>
        <v>75000</v>
      </c>
      <c r="H20" s="268">
        <f t="shared" si="6"/>
        <v>127.15312627153125</v>
      </c>
      <c r="I20" s="642">
        <f t="shared" si="7"/>
        <v>2250</v>
      </c>
      <c r="J20" s="642">
        <f>1600*D20</f>
        <v>1600</v>
      </c>
      <c r="K20" s="642">
        <f t="shared" si="8"/>
        <v>75000</v>
      </c>
      <c r="L20" s="501"/>
      <c r="M20" s="501"/>
      <c r="N20" s="501"/>
      <c r="O20" s="500"/>
    </row>
    <row r="21" spans="1:15" x14ac:dyDescent="0.25">
      <c r="A21" s="22">
        <v>4</v>
      </c>
      <c r="B21" s="26" t="s">
        <v>1366</v>
      </c>
      <c r="C21" s="23" t="s">
        <v>28</v>
      </c>
      <c r="D21" s="24">
        <v>21</v>
      </c>
      <c r="E21" s="23">
        <v>7</v>
      </c>
      <c r="F21" s="25">
        <v>3000</v>
      </c>
      <c r="G21" s="25">
        <f t="shared" si="5"/>
        <v>441000</v>
      </c>
      <c r="H21" s="268">
        <f t="shared" si="6"/>
        <v>747.66038247660379</v>
      </c>
      <c r="I21" s="642">
        <f t="shared" si="7"/>
        <v>13230</v>
      </c>
      <c r="J21" s="642">
        <f>550*D21</f>
        <v>11550</v>
      </c>
      <c r="K21" s="642">
        <f t="shared" si="8"/>
        <v>21000</v>
      </c>
      <c r="L21" s="501"/>
      <c r="M21" s="501"/>
      <c r="N21" s="501"/>
      <c r="O21" s="500"/>
    </row>
    <row r="22" spans="1:15" x14ac:dyDescent="0.25">
      <c r="A22" s="22">
        <v>5</v>
      </c>
      <c r="B22" s="26" t="s">
        <v>1338</v>
      </c>
      <c r="C22" s="23" t="s">
        <v>28</v>
      </c>
      <c r="D22" s="24">
        <v>1</v>
      </c>
      <c r="E22" s="23">
        <v>10</v>
      </c>
      <c r="F22" s="25">
        <v>8000</v>
      </c>
      <c r="G22" s="25">
        <f t="shared" si="5"/>
        <v>80000</v>
      </c>
      <c r="H22" s="268">
        <f t="shared" ref="H22" si="9">G22/589.84</f>
        <v>135.6300013563</v>
      </c>
      <c r="I22" s="642">
        <f t="shared" si="7"/>
        <v>2400</v>
      </c>
      <c r="J22" s="642">
        <f>1600*D22</f>
        <v>1600</v>
      </c>
      <c r="K22" s="642">
        <f t="shared" si="8"/>
        <v>80000</v>
      </c>
      <c r="L22" s="501"/>
      <c r="M22" s="501"/>
      <c r="N22" s="501"/>
      <c r="O22" s="500"/>
    </row>
    <row r="23" spans="1:15" ht="16.5" thickBot="1" x14ac:dyDescent="0.3">
      <c r="A23" s="22">
        <v>6</v>
      </c>
      <c r="B23" s="26" t="s">
        <v>1131</v>
      </c>
      <c r="C23" s="23" t="s">
        <v>28</v>
      </c>
      <c r="D23" s="24">
        <v>1</v>
      </c>
      <c r="E23" s="23">
        <v>10</v>
      </c>
      <c r="F23" s="25">
        <v>8000</v>
      </c>
      <c r="G23" s="25">
        <f t="shared" si="5"/>
        <v>80000</v>
      </c>
      <c r="H23" s="268">
        <f t="shared" si="6"/>
        <v>135.6300013563</v>
      </c>
      <c r="I23" s="642">
        <f t="shared" si="7"/>
        <v>2400</v>
      </c>
      <c r="J23" s="642">
        <f>1600*D23</f>
        <v>1600</v>
      </c>
      <c r="K23" s="642">
        <f t="shared" si="8"/>
        <v>80000</v>
      </c>
      <c r="L23" s="501"/>
      <c r="M23" s="501"/>
      <c r="N23" s="501"/>
      <c r="O23" s="500"/>
    </row>
    <row r="24" spans="1:15" ht="18.75" thickBot="1" x14ac:dyDescent="0.3">
      <c r="A24" s="341"/>
      <c r="B24" s="342" t="s">
        <v>1399</v>
      </c>
      <c r="C24" s="343"/>
      <c r="D24" s="343"/>
      <c r="E24" s="343"/>
      <c r="F24" s="344"/>
      <c r="G24" s="344">
        <f>SUM(G18:G23)</f>
        <v>1036000</v>
      </c>
      <c r="H24" s="516">
        <f>SUM(H18:H23)</f>
        <v>1756.4085175640851</v>
      </c>
      <c r="I24" s="263">
        <f>SUM(I18:I23)</f>
        <v>31080</v>
      </c>
      <c r="J24" s="263">
        <f>SUM(J18:J23)</f>
        <v>24850</v>
      </c>
      <c r="K24" s="12"/>
      <c r="L24" s="501"/>
      <c r="M24" s="501"/>
      <c r="N24" s="501"/>
      <c r="O24" s="500"/>
    </row>
    <row r="25" spans="1:15" ht="16.5" thickBot="1" x14ac:dyDescent="0.3">
      <c r="A25" s="22">
        <v>1</v>
      </c>
      <c r="B25" s="26" t="s">
        <v>1132</v>
      </c>
      <c r="C25" s="23" t="s">
        <v>28</v>
      </c>
      <c r="D25" s="24">
        <v>4</v>
      </c>
      <c r="E25" s="23">
        <v>10</v>
      </c>
      <c r="F25" s="25">
        <v>7500</v>
      </c>
      <c r="G25" s="25">
        <f t="shared" ref="G25:G30" si="10">D25*E25*F25</f>
        <v>300000</v>
      </c>
      <c r="H25" s="544">
        <f>G25/589.84</f>
        <v>508.612505086125</v>
      </c>
      <c r="I25" s="642">
        <f>G25*0.03</f>
        <v>9000</v>
      </c>
      <c r="J25" s="642">
        <f>1600*D25</f>
        <v>6400</v>
      </c>
      <c r="K25" s="642">
        <f>G25/D25</f>
        <v>75000</v>
      </c>
      <c r="L25" s="501"/>
      <c r="M25" s="501"/>
      <c r="N25" s="501"/>
      <c r="O25" s="500"/>
    </row>
    <row r="26" spans="1:15" x14ac:dyDescent="0.25">
      <c r="A26" s="22">
        <v>2</v>
      </c>
      <c r="B26" s="26" t="s">
        <v>1133</v>
      </c>
      <c r="C26" s="23" t="s">
        <v>28</v>
      </c>
      <c r="D26" s="24">
        <v>2</v>
      </c>
      <c r="E26" s="23">
        <v>10</v>
      </c>
      <c r="F26" s="25">
        <v>3000</v>
      </c>
      <c r="G26" s="25">
        <f t="shared" si="10"/>
        <v>60000</v>
      </c>
      <c r="H26" s="268">
        <f t="shared" ref="H26:H30" si="11">G26/589.84</f>
        <v>101.722501017225</v>
      </c>
      <c r="I26" s="642">
        <f t="shared" ref="I26:I30" si="12">G26*0.03</f>
        <v>1800</v>
      </c>
      <c r="J26" s="642">
        <f>1050*D26</f>
        <v>2100</v>
      </c>
      <c r="K26" s="642">
        <f t="shared" ref="K26:K30" si="13">G26/D26</f>
        <v>30000</v>
      </c>
      <c r="L26" s="501"/>
      <c r="M26" s="501"/>
      <c r="N26" s="501"/>
      <c r="O26" s="500"/>
    </row>
    <row r="27" spans="1:15" x14ac:dyDescent="0.25">
      <c r="A27" s="22">
        <v>3</v>
      </c>
      <c r="B27" s="26" t="s">
        <v>1134</v>
      </c>
      <c r="C27" s="23" t="s">
        <v>28</v>
      </c>
      <c r="D27" s="24">
        <v>1</v>
      </c>
      <c r="E27" s="23">
        <v>10</v>
      </c>
      <c r="F27" s="25">
        <v>7500</v>
      </c>
      <c r="G27" s="25">
        <f t="shared" si="10"/>
        <v>75000</v>
      </c>
      <c r="H27" s="268">
        <f t="shared" si="11"/>
        <v>127.15312627153125</v>
      </c>
      <c r="I27" s="642">
        <f t="shared" si="12"/>
        <v>2250</v>
      </c>
      <c r="J27" s="642">
        <f>1600*D27</f>
        <v>1600</v>
      </c>
      <c r="K27" s="642">
        <f t="shared" si="13"/>
        <v>75000</v>
      </c>
      <c r="L27" s="501"/>
      <c r="M27" s="501"/>
      <c r="N27" s="501"/>
      <c r="O27" s="500"/>
    </row>
    <row r="28" spans="1:15" x14ac:dyDescent="0.25">
      <c r="A28" s="22">
        <v>4</v>
      </c>
      <c r="B28" s="26" t="s">
        <v>1366</v>
      </c>
      <c r="C28" s="23" t="s">
        <v>28</v>
      </c>
      <c r="D28" s="24">
        <v>14</v>
      </c>
      <c r="E28" s="23">
        <v>7</v>
      </c>
      <c r="F28" s="25">
        <v>3000</v>
      </c>
      <c r="G28" s="25">
        <f t="shared" si="10"/>
        <v>294000</v>
      </c>
      <c r="H28" s="268">
        <f t="shared" si="11"/>
        <v>498.44025498440254</v>
      </c>
      <c r="I28" s="642">
        <f t="shared" si="12"/>
        <v>8820</v>
      </c>
      <c r="J28" s="642">
        <f>550*D28</f>
        <v>7700</v>
      </c>
      <c r="K28" s="642">
        <f t="shared" si="13"/>
        <v>21000</v>
      </c>
      <c r="L28" s="501"/>
      <c r="M28" s="501"/>
      <c r="N28" s="501"/>
      <c r="O28" s="500"/>
    </row>
    <row r="29" spans="1:15" x14ac:dyDescent="0.25">
      <c r="A29" s="22">
        <v>5</v>
      </c>
      <c r="B29" s="26" t="s">
        <v>1338</v>
      </c>
      <c r="C29" s="23" t="s">
        <v>28</v>
      </c>
      <c r="D29" s="24">
        <v>1</v>
      </c>
      <c r="E29" s="23">
        <v>10</v>
      </c>
      <c r="F29" s="25">
        <v>8000</v>
      </c>
      <c r="G29" s="25">
        <f t="shared" si="10"/>
        <v>80000</v>
      </c>
      <c r="H29" s="268">
        <f t="shared" ref="H29" si="14">G29/589.84</f>
        <v>135.6300013563</v>
      </c>
      <c r="I29" s="642">
        <f t="shared" si="12"/>
        <v>2400</v>
      </c>
      <c r="J29" s="642">
        <f>1600*D29</f>
        <v>1600</v>
      </c>
      <c r="K29" s="642">
        <f t="shared" si="13"/>
        <v>80000</v>
      </c>
      <c r="L29" s="501"/>
      <c r="M29" s="501"/>
      <c r="N29" s="501"/>
      <c r="O29" s="500"/>
    </row>
    <row r="30" spans="1:15" ht="16.5" thickBot="1" x14ac:dyDescent="0.3">
      <c r="A30" s="22">
        <v>6</v>
      </c>
      <c r="B30" s="26" t="s">
        <v>1135</v>
      </c>
      <c r="C30" s="23" t="s">
        <v>28</v>
      </c>
      <c r="D30" s="24">
        <v>1</v>
      </c>
      <c r="E30" s="23">
        <v>10</v>
      </c>
      <c r="F30" s="25">
        <v>8000</v>
      </c>
      <c r="G30" s="25">
        <f t="shared" si="10"/>
        <v>80000</v>
      </c>
      <c r="H30" s="268">
        <f t="shared" si="11"/>
        <v>135.6300013563</v>
      </c>
      <c r="I30" s="642">
        <f t="shared" si="12"/>
        <v>2400</v>
      </c>
      <c r="J30" s="642">
        <f>1600*D30</f>
        <v>1600</v>
      </c>
      <c r="K30" s="642">
        <f t="shared" si="13"/>
        <v>80000</v>
      </c>
      <c r="L30" s="501"/>
      <c r="M30" s="501"/>
      <c r="N30" s="501"/>
      <c r="O30" s="500"/>
    </row>
    <row r="31" spans="1:15" ht="18.75" thickBot="1" x14ac:dyDescent="0.3">
      <c r="A31" s="341"/>
      <c r="B31" s="342" t="s">
        <v>1399</v>
      </c>
      <c r="C31" s="343"/>
      <c r="D31" s="343"/>
      <c r="E31" s="343"/>
      <c r="F31" s="344"/>
      <c r="G31" s="344">
        <f>SUM(G25:G30)</f>
        <v>889000</v>
      </c>
      <c r="H31" s="516">
        <f>SUM(H25:H30)</f>
        <v>1507.1883900718838</v>
      </c>
      <c r="I31" s="263">
        <f>SUM(I25:I30)</f>
        <v>26670</v>
      </c>
      <c r="J31" s="263">
        <f>SUM(J25:J30)</f>
        <v>21000</v>
      </c>
      <c r="K31" s="12"/>
      <c r="L31" s="501"/>
      <c r="M31" s="501"/>
      <c r="N31" s="501"/>
      <c r="O31" s="500"/>
    </row>
    <row r="32" spans="1:15" ht="16.5" thickBot="1" x14ac:dyDescent="0.3">
      <c r="A32" s="22">
        <v>1</v>
      </c>
      <c r="B32" s="26" t="s">
        <v>1136</v>
      </c>
      <c r="C32" s="23" t="s">
        <v>28</v>
      </c>
      <c r="D32" s="24">
        <v>8</v>
      </c>
      <c r="E32" s="23">
        <v>10</v>
      </c>
      <c r="F32" s="25">
        <v>7500</v>
      </c>
      <c r="G32" s="25">
        <f t="shared" ref="G32:G37" si="15">D32*E32*F32</f>
        <v>600000</v>
      </c>
      <c r="H32" s="544">
        <f>G32/589.84</f>
        <v>1017.22501017225</v>
      </c>
      <c r="I32" s="642">
        <f>G32*0.03</f>
        <v>18000</v>
      </c>
      <c r="J32" s="642">
        <f>1600*D32</f>
        <v>12800</v>
      </c>
      <c r="K32" s="642">
        <f>G32/D32</f>
        <v>75000</v>
      </c>
      <c r="L32" s="501"/>
      <c r="M32" s="501"/>
      <c r="N32" s="501"/>
      <c r="O32" s="500"/>
    </row>
    <row r="33" spans="1:15" x14ac:dyDescent="0.25">
      <c r="A33" s="22">
        <v>2</v>
      </c>
      <c r="B33" s="26" t="s">
        <v>1137</v>
      </c>
      <c r="C33" s="23" t="s">
        <v>28</v>
      </c>
      <c r="D33" s="24">
        <v>4</v>
      </c>
      <c r="E33" s="23">
        <v>10</v>
      </c>
      <c r="F33" s="25">
        <v>3000</v>
      </c>
      <c r="G33" s="25">
        <f t="shared" si="15"/>
        <v>120000</v>
      </c>
      <c r="H33" s="268">
        <f t="shared" ref="H33:H37" si="16">G33/589.84</f>
        <v>203.44500203445</v>
      </c>
      <c r="I33" s="642">
        <f t="shared" ref="I33:I37" si="17">G33*0.03</f>
        <v>3600</v>
      </c>
      <c r="J33" s="642">
        <f>1050*D33</f>
        <v>4200</v>
      </c>
      <c r="K33" s="642">
        <f t="shared" ref="K33:K37" si="18">G33/D33</f>
        <v>30000</v>
      </c>
      <c r="L33" s="501"/>
      <c r="M33" s="501"/>
      <c r="N33" s="501"/>
      <c r="O33" s="500"/>
    </row>
    <row r="34" spans="1:15" x14ac:dyDescent="0.25">
      <c r="A34" s="22">
        <v>3</v>
      </c>
      <c r="B34" s="26" t="s">
        <v>1138</v>
      </c>
      <c r="C34" s="23" t="s">
        <v>28</v>
      </c>
      <c r="D34" s="24">
        <v>1</v>
      </c>
      <c r="E34" s="23">
        <v>10</v>
      </c>
      <c r="F34" s="25">
        <v>7500</v>
      </c>
      <c r="G34" s="25">
        <f t="shared" si="15"/>
        <v>75000</v>
      </c>
      <c r="H34" s="268">
        <f t="shared" si="16"/>
        <v>127.15312627153125</v>
      </c>
      <c r="I34" s="642">
        <f t="shared" si="17"/>
        <v>2250</v>
      </c>
      <c r="J34" s="642">
        <f>1600*D34</f>
        <v>1600</v>
      </c>
      <c r="K34" s="642">
        <f t="shared" si="18"/>
        <v>75000</v>
      </c>
      <c r="L34" s="501"/>
      <c r="M34" s="501"/>
      <c r="N34" s="501"/>
      <c r="O34" s="500"/>
    </row>
    <row r="35" spans="1:15" x14ac:dyDescent="0.25">
      <c r="A35" s="22">
        <v>4</v>
      </c>
      <c r="B35" s="26" t="s">
        <v>1366</v>
      </c>
      <c r="C35" s="23" t="s">
        <v>28</v>
      </c>
      <c r="D35" s="24">
        <v>25</v>
      </c>
      <c r="E35" s="23">
        <v>7</v>
      </c>
      <c r="F35" s="25">
        <v>3000</v>
      </c>
      <c r="G35" s="25">
        <f t="shared" si="15"/>
        <v>525000</v>
      </c>
      <c r="H35" s="268">
        <f t="shared" si="16"/>
        <v>890.07188390071883</v>
      </c>
      <c r="I35" s="642">
        <f t="shared" si="17"/>
        <v>15750</v>
      </c>
      <c r="J35" s="642">
        <f>550*D35</f>
        <v>13750</v>
      </c>
      <c r="K35" s="642">
        <f t="shared" si="18"/>
        <v>21000</v>
      </c>
      <c r="L35" s="501"/>
      <c r="M35" s="501"/>
      <c r="N35" s="501"/>
      <c r="O35" s="500"/>
    </row>
    <row r="36" spans="1:15" x14ac:dyDescent="0.25">
      <c r="A36" s="22">
        <v>5</v>
      </c>
      <c r="B36" s="26" t="s">
        <v>1338</v>
      </c>
      <c r="C36" s="23" t="s">
        <v>28</v>
      </c>
      <c r="D36" s="24">
        <v>1</v>
      </c>
      <c r="E36" s="23">
        <v>10</v>
      </c>
      <c r="F36" s="25">
        <v>8000</v>
      </c>
      <c r="G36" s="25">
        <f t="shared" si="15"/>
        <v>80000</v>
      </c>
      <c r="H36" s="268">
        <f t="shared" ref="H36" si="19">G36/589.84</f>
        <v>135.6300013563</v>
      </c>
      <c r="I36" s="642">
        <f t="shared" si="17"/>
        <v>2400</v>
      </c>
      <c r="J36" s="642">
        <f>1600*D36</f>
        <v>1600</v>
      </c>
      <c r="K36" s="642">
        <f t="shared" si="18"/>
        <v>80000</v>
      </c>
      <c r="L36" s="501"/>
      <c r="M36" s="501"/>
      <c r="N36" s="501"/>
      <c r="O36" s="500"/>
    </row>
    <row r="37" spans="1:15" ht="16.5" thickBot="1" x14ac:dyDescent="0.3">
      <c r="A37" s="22">
        <v>6</v>
      </c>
      <c r="B37" s="26" t="s">
        <v>1139</v>
      </c>
      <c r="C37" s="23" t="s">
        <v>28</v>
      </c>
      <c r="D37" s="24">
        <v>1</v>
      </c>
      <c r="E37" s="23">
        <v>10</v>
      </c>
      <c r="F37" s="25">
        <v>8000</v>
      </c>
      <c r="G37" s="25">
        <f t="shared" si="15"/>
        <v>80000</v>
      </c>
      <c r="H37" s="268">
        <f t="shared" si="16"/>
        <v>135.6300013563</v>
      </c>
      <c r="I37" s="642">
        <f t="shared" si="17"/>
        <v>2400</v>
      </c>
      <c r="J37" s="642">
        <f>1600*D37</f>
        <v>1600</v>
      </c>
      <c r="K37" s="642">
        <f t="shared" si="18"/>
        <v>80000</v>
      </c>
      <c r="L37" s="501"/>
      <c r="M37" s="501"/>
      <c r="N37" s="501"/>
      <c r="O37" s="500"/>
    </row>
    <row r="38" spans="1:15" ht="18.75" thickBot="1" x14ac:dyDescent="0.3">
      <c r="A38" s="341"/>
      <c r="B38" s="342" t="s">
        <v>1399</v>
      </c>
      <c r="C38" s="343"/>
      <c r="D38" s="343"/>
      <c r="E38" s="343"/>
      <c r="F38" s="344"/>
      <c r="G38" s="344">
        <f>SUM(G32:G37)</f>
        <v>1480000</v>
      </c>
      <c r="H38" s="516">
        <f>SUM(H32:H37)</f>
        <v>2509.1550250915498</v>
      </c>
      <c r="I38" s="263">
        <f>SUM(I32:I37)</f>
        <v>44400</v>
      </c>
      <c r="J38" s="263">
        <f>SUM(J32:J37)</f>
        <v>35550</v>
      </c>
      <c r="K38" s="12"/>
      <c r="L38" s="501"/>
      <c r="M38" s="501"/>
      <c r="N38" s="501"/>
      <c r="O38" s="500"/>
    </row>
    <row r="39" spans="1:15" ht="16.5" thickBot="1" x14ac:dyDescent="0.3">
      <c r="A39" s="22">
        <v>1</v>
      </c>
      <c r="B39" s="26" t="s">
        <v>1140</v>
      </c>
      <c r="C39" s="23" t="s">
        <v>28</v>
      </c>
      <c r="D39" s="24">
        <v>16</v>
      </c>
      <c r="E39" s="23">
        <v>10</v>
      </c>
      <c r="F39" s="25">
        <v>7500</v>
      </c>
      <c r="G39" s="25">
        <f t="shared" ref="G39:G44" si="20">D39*E39*F39</f>
        <v>1200000</v>
      </c>
      <c r="H39" s="544">
        <f>G39/589.84</f>
        <v>2034.4500203445</v>
      </c>
      <c r="I39" s="642">
        <f>G39*0.03</f>
        <v>36000</v>
      </c>
      <c r="J39" s="642">
        <f>1600*D39</f>
        <v>25600</v>
      </c>
      <c r="K39" s="642">
        <f>G39/D39</f>
        <v>75000</v>
      </c>
      <c r="L39" s="501"/>
      <c r="M39" s="501"/>
      <c r="N39" s="501"/>
      <c r="O39" s="500"/>
    </row>
    <row r="40" spans="1:15" x14ac:dyDescent="0.25">
      <c r="A40" s="22">
        <v>2</v>
      </c>
      <c r="B40" s="26" t="s">
        <v>1141</v>
      </c>
      <c r="C40" s="23" t="s">
        <v>28</v>
      </c>
      <c r="D40" s="24">
        <v>8</v>
      </c>
      <c r="E40" s="23">
        <v>10</v>
      </c>
      <c r="F40" s="25">
        <v>3000</v>
      </c>
      <c r="G40" s="25">
        <f t="shared" si="20"/>
        <v>240000</v>
      </c>
      <c r="H40" s="268">
        <f t="shared" ref="H40:H44" si="21">G40/589.84</f>
        <v>406.8900040689</v>
      </c>
      <c r="I40" s="642">
        <f t="shared" ref="I40:I44" si="22">G40*0.03</f>
        <v>7200</v>
      </c>
      <c r="J40" s="642">
        <f>1050*D40</f>
        <v>8400</v>
      </c>
      <c r="K40" s="642">
        <f t="shared" ref="K40:K44" si="23">G40/D40</f>
        <v>30000</v>
      </c>
      <c r="L40" s="501"/>
      <c r="M40" s="501"/>
      <c r="N40" s="501"/>
      <c r="O40" s="500"/>
    </row>
    <row r="41" spans="1:15" ht="16.149999999999999" customHeight="1" x14ac:dyDescent="0.25">
      <c r="A41" s="22">
        <v>3</v>
      </c>
      <c r="B41" s="26" t="s">
        <v>1143</v>
      </c>
      <c r="C41" s="23" t="s">
        <v>28</v>
      </c>
      <c r="D41" s="24">
        <v>1</v>
      </c>
      <c r="E41" s="23">
        <v>10</v>
      </c>
      <c r="F41" s="25">
        <v>7500</v>
      </c>
      <c r="G41" s="25">
        <f t="shared" si="20"/>
        <v>75000</v>
      </c>
      <c r="H41" s="268">
        <f t="shared" si="21"/>
        <v>127.15312627153125</v>
      </c>
      <c r="I41" s="642">
        <f t="shared" si="22"/>
        <v>2250</v>
      </c>
      <c r="J41" s="642">
        <f>1600*D41</f>
        <v>1600</v>
      </c>
      <c r="K41" s="642">
        <f t="shared" si="23"/>
        <v>75000</v>
      </c>
      <c r="L41" s="501"/>
      <c r="M41" s="501"/>
      <c r="N41" s="501"/>
      <c r="O41" s="500"/>
    </row>
    <row r="42" spans="1:15" ht="16.149999999999999" customHeight="1" x14ac:dyDescent="0.25">
      <c r="A42" s="22">
        <v>4</v>
      </c>
      <c r="B42" s="26" t="s">
        <v>1366</v>
      </c>
      <c r="C42" s="23" t="s">
        <v>28</v>
      </c>
      <c r="D42" s="24">
        <v>28</v>
      </c>
      <c r="E42" s="23">
        <v>7</v>
      </c>
      <c r="F42" s="25">
        <v>3000</v>
      </c>
      <c r="G42" s="25">
        <f t="shared" si="20"/>
        <v>588000</v>
      </c>
      <c r="H42" s="268">
        <f t="shared" si="21"/>
        <v>996.88050996880509</v>
      </c>
      <c r="I42" s="642">
        <f t="shared" si="22"/>
        <v>17640</v>
      </c>
      <c r="J42" s="642">
        <f>550*D42</f>
        <v>15400</v>
      </c>
      <c r="K42" s="642">
        <f t="shared" si="23"/>
        <v>21000</v>
      </c>
      <c r="L42" s="501"/>
      <c r="M42" s="501"/>
      <c r="N42" s="501"/>
      <c r="O42" s="500"/>
    </row>
    <row r="43" spans="1:15" x14ac:dyDescent="0.25">
      <c r="A43" s="22">
        <v>5</v>
      </c>
      <c r="B43" s="26" t="s">
        <v>1338</v>
      </c>
      <c r="C43" s="23" t="s">
        <v>28</v>
      </c>
      <c r="D43" s="24">
        <v>1</v>
      </c>
      <c r="E43" s="23">
        <v>10</v>
      </c>
      <c r="F43" s="25">
        <v>8000</v>
      </c>
      <c r="G43" s="25">
        <f t="shared" si="20"/>
        <v>80000</v>
      </c>
      <c r="H43" s="268">
        <f t="shared" ref="H43" si="24">G43/589.84</f>
        <v>135.6300013563</v>
      </c>
      <c r="I43" s="642">
        <f t="shared" si="22"/>
        <v>2400</v>
      </c>
      <c r="J43" s="642">
        <f>1600*D43</f>
        <v>1600</v>
      </c>
      <c r="K43" s="642">
        <f t="shared" si="23"/>
        <v>80000</v>
      </c>
      <c r="L43" s="501"/>
      <c r="M43" s="501"/>
      <c r="N43" s="501"/>
      <c r="O43" s="500"/>
    </row>
    <row r="44" spans="1:15" ht="16.5" thickBot="1" x14ac:dyDescent="0.3">
      <c r="A44" s="22">
        <v>6</v>
      </c>
      <c r="B44" s="26" t="s">
        <v>1142</v>
      </c>
      <c r="C44" s="23" t="s">
        <v>28</v>
      </c>
      <c r="D44" s="24">
        <v>2</v>
      </c>
      <c r="E44" s="23">
        <v>10</v>
      </c>
      <c r="F44" s="25">
        <v>8000</v>
      </c>
      <c r="G44" s="25">
        <f t="shared" si="20"/>
        <v>160000</v>
      </c>
      <c r="H44" s="268">
        <f t="shared" si="21"/>
        <v>271.2600027126</v>
      </c>
      <c r="I44" s="642">
        <f t="shared" si="22"/>
        <v>4800</v>
      </c>
      <c r="J44" s="642">
        <f>1600*D44</f>
        <v>3200</v>
      </c>
      <c r="K44" s="642">
        <f t="shared" si="23"/>
        <v>80000</v>
      </c>
      <c r="L44" s="501"/>
      <c r="M44" s="501"/>
      <c r="N44" s="501"/>
      <c r="O44" s="500"/>
    </row>
    <row r="45" spans="1:15" ht="18.75" thickBot="1" x14ac:dyDescent="0.3">
      <c r="A45" s="341"/>
      <c r="B45" s="342" t="s">
        <v>1399</v>
      </c>
      <c r="C45" s="343"/>
      <c r="D45" s="343"/>
      <c r="E45" s="343"/>
      <c r="F45" s="344"/>
      <c r="G45" s="344">
        <f>SUM(G39:G44)</f>
        <v>2343000</v>
      </c>
      <c r="H45" s="516">
        <f>SUM(H39:H44)</f>
        <v>3972.2636647226363</v>
      </c>
      <c r="I45" s="263">
        <f>SUM(I39:I44)</f>
        <v>70290</v>
      </c>
      <c r="J45" s="263">
        <f>SUM(J39:J44)</f>
        <v>55800</v>
      </c>
      <c r="K45" s="12"/>
      <c r="L45" s="501"/>
      <c r="M45" s="501"/>
      <c r="N45" s="501"/>
      <c r="O45" s="500"/>
    </row>
    <row r="46" spans="1:15" ht="16.5" thickBot="1" x14ac:dyDescent="0.3">
      <c r="A46" s="22">
        <v>1</v>
      </c>
      <c r="B46" s="26" t="s">
        <v>1144</v>
      </c>
      <c r="C46" s="23" t="s">
        <v>28</v>
      </c>
      <c r="D46" s="24">
        <v>10</v>
      </c>
      <c r="E46" s="23">
        <v>10</v>
      </c>
      <c r="F46" s="25">
        <v>7500</v>
      </c>
      <c r="G46" s="25">
        <f t="shared" ref="G46:G51" si="25">D46*E46*F46</f>
        <v>750000</v>
      </c>
      <c r="H46" s="544">
        <f>G46/589.84</f>
        <v>1271.5312627153126</v>
      </c>
      <c r="I46" s="642">
        <f>G46*0.03</f>
        <v>22500</v>
      </c>
      <c r="J46" s="642">
        <f>1600*D46</f>
        <v>16000</v>
      </c>
      <c r="K46" s="642">
        <f>G46/D46</f>
        <v>75000</v>
      </c>
      <c r="L46" s="501"/>
      <c r="M46" s="501"/>
      <c r="N46" s="501"/>
      <c r="O46" s="500"/>
    </row>
    <row r="47" spans="1:15" x14ac:dyDescent="0.25">
      <c r="A47" s="22">
        <v>2</v>
      </c>
      <c r="B47" s="26" t="s">
        <v>1145</v>
      </c>
      <c r="C47" s="23" t="s">
        <v>28</v>
      </c>
      <c r="D47" s="24">
        <v>5</v>
      </c>
      <c r="E47" s="23">
        <v>10</v>
      </c>
      <c r="F47" s="25">
        <v>3000</v>
      </c>
      <c r="G47" s="25">
        <f t="shared" si="25"/>
        <v>150000</v>
      </c>
      <c r="H47" s="268">
        <f t="shared" ref="H47:H51" si="26">G47/589.84</f>
        <v>254.3062525430625</v>
      </c>
      <c r="I47" s="642">
        <f t="shared" ref="I47:I51" si="27">G47*0.03</f>
        <v>4500</v>
      </c>
      <c r="J47" s="642">
        <f>1050*D47</f>
        <v>5250</v>
      </c>
      <c r="K47" s="642">
        <f t="shared" ref="K47:K51" si="28">G47/D47</f>
        <v>30000</v>
      </c>
      <c r="L47" s="501"/>
      <c r="M47" s="501"/>
      <c r="N47" s="501"/>
      <c r="O47" s="500"/>
    </row>
    <row r="48" spans="1:15" x14ac:dyDescent="0.25">
      <c r="A48" s="22">
        <v>3</v>
      </c>
      <c r="B48" s="26" t="s">
        <v>1146</v>
      </c>
      <c r="C48" s="23" t="s">
        <v>28</v>
      </c>
      <c r="D48" s="24">
        <v>1</v>
      </c>
      <c r="E48" s="23">
        <v>10</v>
      </c>
      <c r="F48" s="25">
        <v>7500</v>
      </c>
      <c r="G48" s="25">
        <f t="shared" si="25"/>
        <v>75000</v>
      </c>
      <c r="H48" s="268">
        <f t="shared" si="26"/>
        <v>127.15312627153125</v>
      </c>
      <c r="I48" s="642">
        <f t="shared" si="27"/>
        <v>2250</v>
      </c>
      <c r="J48" s="642">
        <f>1600*D48</f>
        <v>1600</v>
      </c>
      <c r="K48" s="642">
        <f t="shared" si="28"/>
        <v>75000</v>
      </c>
      <c r="L48" s="501"/>
      <c r="M48" s="501"/>
      <c r="N48" s="501"/>
      <c r="O48" s="500"/>
    </row>
    <row r="49" spans="1:15" x14ac:dyDescent="0.25">
      <c r="A49" s="22">
        <v>4</v>
      </c>
      <c r="B49" s="26" t="s">
        <v>1366</v>
      </c>
      <c r="C49" s="23" t="s">
        <v>28</v>
      </c>
      <c r="D49" s="24">
        <v>18</v>
      </c>
      <c r="E49" s="23">
        <v>7</v>
      </c>
      <c r="F49" s="25">
        <v>3000</v>
      </c>
      <c r="G49" s="25">
        <f t="shared" si="25"/>
        <v>378000</v>
      </c>
      <c r="H49" s="268">
        <f t="shared" si="26"/>
        <v>640.85175640851753</v>
      </c>
      <c r="I49" s="642">
        <f t="shared" si="27"/>
        <v>11340</v>
      </c>
      <c r="J49" s="642">
        <f>550*D49</f>
        <v>9900</v>
      </c>
      <c r="K49" s="642">
        <f t="shared" si="28"/>
        <v>21000</v>
      </c>
      <c r="L49" s="501"/>
      <c r="M49" s="501"/>
      <c r="N49" s="501"/>
      <c r="O49" s="500"/>
    </row>
    <row r="50" spans="1:15" x14ac:dyDescent="0.25">
      <c r="A50" s="22">
        <v>5</v>
      </c>
      <c r="B50" s="26" t="s">
        <v>1338</v>
      </c>
      <c r="C50" s="23" t="s">
        <v>28</v>
      </c>
      <c r="D50" s="24">
        <v>1</v>
      </c>
      <c r="E50" s="23">
        <v>10</v>
      </c>
      <c r="F50" s="25">
        <v>8000</v>
      </c>
      <c r="G50" s="25">
        <f t="shared" si="25"/>
        <v>80000</v>
      </c>
      <c r="H50" s="268">
        <f t="shared" si="26"/>
        <v>135.6300013563</v>
      </c>
      <c r="I50" s="642">
        <f t="shared" si="27"/>
        <v>2400</v>
      </c>
      <c r="J50" s="642">
        <f>1600*D50</f>
        <v>1600</v>
      </c>
      <c r="K50" s="642">
        <f t="shared" si="28"/>
        <v>80000</v>
      </c>
      <c r="L50" s="501"/>
      <c r="M50" s="501"/>
      <c r="N50" s="501"/>
      <c r="O50" s="500"/>
    </row>
    <row r="51" spans="1:15" ht="16.5" thickBot="1" x14ac:dyDescent="0.3">
      <c r="A51" s="22">
        <v>6</v>
      </c>
      <c r="B51" s="26" t="s">
        <v>1147</v>
      </c>
      <c r="C51" s="23" t="s">
        <v>28</v>
      </c>
      <c r="D51" s="24">
        <v>1</v>
      </c>
      <c r="E51" s="23">
        <v>10</v>
      </c>
      <c r="F51" s="25">
        <v>8000</v>
      </c>
      <c r="G51" s="25">
        <f t="shared" si="25"/>
        <v>80000</v>
      </c>
      <c r="H51" s="268">
        <f t="shared" si="26"/>
        <v>135.6300013563</v>
      </c>
      <c r="I51" s="642">
        <f t="shared" si="27"/>
        <v>2400</v>
      </c>
      <c r="J51" s="642">
        <f>1600*D51</f>
        <v>1600</v>
      </c>
      <c r="K51" s="642">
        <f t="shared" si="28"/>
        <v>80000</v>
      </c>
      <c r="L51" s="501"/>
      <c r="M51" s="501"/>
      <c r="N51" s="501"/>
      <c r="O51" s="500"/>
    </row>
    <row r="52" spans="1:15" ht="18.75" thickBot="1" x14ac:dyDescent="0.3">
      <c r="A52" s="341"/>
      <c r="B52" s="342" t="s">
        <v>1399</v>
      </c>
      <c r="C52" s="343"/>
      <c r="D52" s="343"/>
      <c r="E52" s="343"/>
      <c r="F52" s="344"/>
      <c r="G52" s="344">
        <f>SUM(G46:G51)</f>
        <v>1513000</v>
      </c>
      <c r="H52" s="516">
        <f>SUM(H46:H51)</f>
        <v>2565.1024006510238</v>
      </c>
      <c r="I52" s="263">
        <f>SUM(I46:I51)</f>
        <v>45390</v>
      </c>
      <c r="J52" s="263">
        <f>SUM(J46:J51)</f>
        <v>35950</v>
      </c>
      <c r="K52" s="12"/>
      <c r="L52" s="501"/>
      <c r="M52" s="501"/>
      <c r="N52" s="501"/>
      <c r="O52" s="500"/>
    </row>
    <row r="53" spans="1:15" ht="16.5" thickBot="1" x14ac:dyDescent="0.3">
      <c r="A53" s="22">
        <v>1</v>
      </c>
      <c r="B53" s="26" t="s">
        <v>1148</v>
      </c>
      <c r="C53" s="23" t="s">
        <v>28</v>
      </c>
      <c r="D53" s="24">
        <v>6</v>
      </c>
      <c r="E53" s="23">
        <v>10</v>
      </c>
      <c r="F53" s="25">
        <v>7500</v>
      </c>
      <c r="G53" s="25">
        <f t="shared" ref="G53:G58" si="29">D53*E53*F53</f>
        <v>450000</v>
      </c>
      <c r="H53" s="544">
        <f>G53/589.84</f>
        <v>762.91875762918755</v>
      </c>
      <c r="I53" s="642">
        <f>G53*0.03</f>
        <v>13500</v>
      </c>
      <c r="J53" s="642">
        <f>1600*D53</f>
        <v>9600</v>
      </c>
      <c r="K53" s="642">
        <f>G53/D53</f>
        <v>75000</v>
      </c>
      <c r="L53" s="501"/>
      <c r="M53" s="501"/>
      <c r="N53" s="501"/>
      <c r="O53" s="500"/>
    </row>
    <row r="54" spans="1:15" x14ac:dyDescent="0.25">
      <c r="A54" s="22">
        <v>2</v>
      </c>
      <c r="B54" s="26" t="s">
        <v>1149</v>
      </c>
      <c r="C54" s="23" t="s">
        <v>28</v>
      </c>
      <c r="D54" s="24">
        <v>3</v>
      </c>
      <c r="E54" s="23">
        <v>10</v>
      </c>
      <c r="F54" s="25">
        <v>3000</v>
      </c>
      <c r="G54" s="25">
        <f t="shared" si="29"/>
        <v>90000</v>
      </c>
      <c r="H54" s="268">
        <f t="shared" ref="H54:H58" si="30">G54/589.84</f>
        <v>152.5837515258375</v>
      </c>
      <c r="I54" s="642">
        <f t="shared" ref="I54:I58" si="31">G54*0.03</f>
        <v>2700</v>
      </c>
      <c r="J54" s="642">
        <f>1050*D54</f>
        <v>3150</v>
      </c>
      <c r="K54" s="642">
        <f t="shared" ref="K54:K58" si="32">G54/D54</f>
        <v>30000</v>
      </c>
      <c r="L54" s="501"/>
      <c r="M54" s="501"/>
      <c r="N54" s="501"/>
      <c r="O54" s="500"/>
    </row>
    <row r="55" spans="1:15" x14ac:dyDescent="0.25">
      <c r="A55" s="22">
        <v>3</v>
      </c>
      <c r="B55" s="26" t="s">
        <v>1150</v>
      </c>
      <c r="C55" s="23" t="s">
        <v>28</v>
      </c>
      <c r="D55" s="24">
        <v>1</v>
      </c>
      <c r="E55" s="23">
        <v>10</v>
      </c>
      <c r="F55" s="25">
        <v>7500</v>
      </c>
      <c r="G55" s="25">
        <f t="shared" si="29"/>
        <v>75000</v>
      </c>
      <c r="H55" s="268">
        <f t="shared" si="30"/>
        <v>127.15312627153125</v>
      </c>
      <c r="I55" s="642">
        <f t="shared" si="31"/>
        <v>2250</v>
      </c>
      <c r="J55" s="642">
        <f>1600*D55</f>
        <v>1600</v>
      </c>
      <c r="K55" s="642">
        <f t="shared" si="32"/>
        <v>75000</v>
      </c>
      <c r="L55" s="501"/>
      <c r="M55" s="501"/>
      <c r="N55" s="501"/>
      <c r="O55" s="500"/>
    </row>
    <row r="56" spans="1:15" x14ac:dyDescent="0.25">
      <c r="A56" s="22">
        <v>4</v>
      </c>
      <c r="B56" s="26" t="s">
        <v>1366</v>
      </c>
      <c r="C56" s="23" t="s">
        <v>28</v>
      </c>
      <c r="D56" s="24">
        <v>13</v>
      </c>
      <c r="E56" s="23">
        <v>7</v>
      </c>
      <c r="F56" s="25">
        <v>3000</v>
      </c>
      <c r="G56" s="25">
        <f t="shared" si="29"/>
        <v>273000</v>
      </c>
      <c r="H56" s="268">
        <f t="shared" si="30"/>
        <v>462.83737962837375</v>
      </c>
      <c r="I56" s="642">
        <f t="shared" si="31"/>
        <v>8190</v>
      </c>
      <c r="J56" s="642">
        <f>550*D56</f>
        <v>7150</v>
      </c>
      <c r="K56" s="642">
        <f t="shared" si="32"/>
        <v>21000</v>
      </c>
      <c r="L56" s="501"/>
      <c r="M56" s="501"/>
      <c r="N56" s="501"/>
      <c r="O56" s="500"/>
    </row>
    <row r="57" spans="1:15" x14ac:dyDescent="0.25">
      <c r="A57" s="22">
        <v>5</v>
      </c>
      <c r="B57" s="26" t="s">
        <v>1338</v>
      </c>
      <c r="C57" s="23" t="s">
        <v>28</v>
      </c>
      <c r="D57" s="24">
        <v>1</v>
      </c>
      <c r="E57" s="23">
        <v>10</v>
      </c>
      <c r="F57" s="25">
        <v>8000</v>
      </c>
      <c r="G57" s="25">
        <f t="shared" si="29"/>
        <v>80000</v>
      </c>
      <c r="H57" s="268">
        <f t="shared" ref="H57" si="33">G57/589.84</f>
        <v>135.6300013563</v>
      </c>
      <c r="I57" s="642">
        <f t="shared" si="31"/>
        <v>2400</v>
      </c>
      <c r="J57" s="642">
        <f>1600*D57</f>
        <v>1600</v>
      </c>
      <c r="K57" s="642">
        <f t="shared" si="32"/>
        <v>80000</v>
      </c>
      <c r="L57" s="501"/>
      <c r="M57" s="501"/>
      <c r="N57" s="501"/>
      <c r="O57" s="500"/>
    </row>
    <row r="58" spans="1:15" ht="16.5" thickBot="1" x14ac:dyDescent="0.3">
      <c r="A58" s="22">
        <v>6</v>
      </c>
      <c r="B58" s="26" t="s">
        <v>1151</v>
      </c>
      <c r="C58" s="23" t="s">
        <v>28</v>
      </c>
      <c r="D58" s="24">
        <v>1</v>
      </c>
      <c r="E58" s="23">
        <v>10</v>
      </c>
      <c r="F58" s="25">
        <v>8000</v>
      </c>
      <c r="G58" s="25">
        <f t="shared" si="29"/>
        <v>80000</v>
      </c>
      <c r="H58" s="268">
        <f t="shared" si="30"/>
        <v>135.6300013563</v>
      </c>
      <c r="I58" s="642">
        <f t="shared" si="31"/>
        <v>2400</v>
      </c>
      <c r="J58" s="642">
        <f>1600*D58</f>
        <v>1600</v>
      </c>
      <c r="K58" s="642">
        <f t="shared" si="32"/>
        <v>80000</v>
      </c>
      <c r="L58" s="501"/>
      <c r="M58" s="501"/>
      <c r="N58" s="501"/>
      <c r="O58" s="500"/>
    </row>
    <row r="59" spans="1:15" ht="18.75" thickBot="1" x14ac:dyDescent="0.3">
      <c r="A59" s="341"/>
      <c r="B59" s="342" t="s">
        <v>1399</v>
      </c>
      <c r="C59" s="343"/>
      <c r="D59" s="343"/>
      <c r="E59" s="343"/>
      <c r="F59" s="344"/>
      <c r="G59" s="344">
        <f>SUM(G53:G58)</f>
        <v>1048000</v>
      </c>
      <c r="H59" s="516">
        <f>SUM(H53:H58)</f>
        <v>1776.7530177675301</v>
      </c>
      <c r="I59" s="263">
        <f>SUM(I53:I58)</f>
        <v>31440</v>
      </c>
      <c r="J59" s="263">
        <f>SUM(J53:J58)</f>
        <v>24700</v>
      </c>
      <c r="K59" s="12"/>
      <c r="L59" s="501"/>
      <c r="M59" s="501"/>
      <c r="N59" s="501"/>
      <c r="O59" s="500"/>
    </row>
    <row r="60" spans="1:15" ht="16.5" thickBot="1" x14ac:dyDescent="0.3">
      <c r="A60" s="22">
        <v>1</v>
      </c>
      <c r="B60" s="26" t="s">
        <v>1152</v>
      </c>
      <c r="C60" s="23" t="s">
        <v>28</v>
      </c>
      <c r="D60" s="24">
        <v>6</v>
      </c>
      <c r="E60" s="23">
        <v>10</v>
      </c>
      <c r="F60" s="25">
        <v>7500</v>
      </c>
      <c r="G60" s="25">
        <f t="shared" ref="G60:G65" si="34">D60*E60*F60</f>
        <v>450000</v>
      </c>
      <c r="H60" s="544">
        <f>G60/589.84</f>
        <v>762.91875762918755</v>
      </c>
      <c r="I60" s="642">
        <f>G60*0.03</f>
        <v>13500</v>
      </c>
      <c r="J60" s="642">
        <f>1600*D60</f>
        <v>9600</v>
      </c>
      <c r="K60" s="642">
        <f>G60/D60</f>
        <v>75000</v>
      </c>
      <c r="L60" s="501"/>
      <c r="M60" s="501"/>
      <c r="N60" s="501"/>
      <c r="O60" s="500"/>
    </row>
    <row r="61" spans="1:15" x14ac:dyDescent="0.25">
      <c r="A61" s="22">
        <v>2</v>
      </c>
      <c r="B61" s="26" t="s">
        <v>1153</v>
      </c>
      <c r="C61" s="23" t="s">
        <v>28</v>
      </c>
      <c r="D61" s="24">
        <v>3</v>
      </c>
      <c r="E61" s="23">
        <v>10</v>
      </c>
      <c r="F61" s="25">
        <v>3000</v>
      </c>
      <c r="G61" s="25">
        <f t="shared" si="34"/>
        <v>90000</v>
      </c>
      <c r="H61" s="268">
        <f t="shared" ref="H61:H65" si="35">G61/589.84</f>
        <v>152.5837515258375</v>
      </c>
      <c r="I61" s="642">
        <f t="shared" ref="I61:I65" si="36">G61*0.03</f>
        <v>2700</v>
      </c>
      <c r="J61" s="642">
        <f>1050*D61</f>
        <v>3150</v>
      </c>
      <c r="K61" s="642">
        <f t="shared" ref="K61:K65" si="37">G61/D61</f>
        <v>30000</v>
      </c>
      <c r="L61" s="501"/>
      <c r="M61" s="501"/>
      <c r="N61" s="501"/>
      <c r="O61" s="500"/>
    </row>
    <row r="62" spans="1:15" x14ac:dyDescent="0.25">
      <c r="A62" s="22">
        <v>3</v>
      </c>
      <c r="B62" s="26" t="s">
        <v>1154</v>
      </c>
      <c r="C62" s="23" t="s">
        <v>28</v>
      </c>
      <c r="D62" s="24">
        <v>1</v>
      </c>
      <c r="E62" s="23">
        <v>10</v>
      </c>
      <c r="F62" s="25">
        <v>7500</v>
      </c>
      <c r="G62" s="25">
        <f t="shared" si="34"/>
        <v>75000</v>
      </c>
      <c r="H62" s="268">
        <f t="shared" si="35"/>
        <v>127.15312627153125</v>
      </c>
      <c r="I62" s="642">
        <f t="shared" si="36"/>
        <v>2250</v>
      </c>
      <c r="J62" s="642">
        <f>1600*D62</f>
        <v>1600</v>
      </c>
      <c r="K62" s="642">
        <f t="shared" si="37"/>
        <v>75000</v>
      </c>
      <c r="L62" s="501"/>
      <c r="M62" s="501"/>
      <c r="N62" s="501"/>
      <c r="O62" s="500"/>
    </row>
    <row r="63" spans="1:15" x14ac:dyDescent="0.25">
      <c r="A63" s="22">
        <v>4</v>
      </c>
      <c r="B63" s="26" t="s">
        <v>1366</v>
      </c>
      <c r="C63" s="23" t="s">
        <v>28</v>
      </c>
      <c r="D63" s="24">
        <v>14</v>
      </c>
      <c r="E63" s="23">
        <v>7</v>
      </c>
      <c r="F63" s="25">
        <v>3000</v>
      </c>
      <c r="G63" s="25">
        <f t="shared" si="34"/>
        <v>294000</v>
      </c>
      <c r="H63" s="268">
        <f t="shared" si="35"/>
        <v>498.44025498440254</v>
      </c>
      <c r="I63" s="642">
        <f t="shared" si="36"/>
        <v>8820</v>
      </c>
      <c r="J63" s="642">
        <f>550*D63</f>
        <v>7700</v>
      </c>
      <c r="K63" s="642">
        <f t="shared" si="37"/>
        <v>21000</v>
      </c>
      <c r="L63" s="501"/>
      <c r="M63" s="501"/>
      <c r="N63" s="501"/>
      <c r="O63" s="500"/>
    </row>
    <row r="64" spans="1:15" x14ac:dyDescent="0.25">
      <c r="A64" s="22">
        <v>5</v>
      </c>
      <c r="B64" s="26" t="s">
        <v>1338</v>
      </c>
      <c r="C64" s="23" t="s">
        <v>28</v>
      </c>
      <c r="D64" s="24">
        <v>1</v>
      </c>
      <c r="E64" s="23">
        <v>10</v>
      </c>
      <c r="F64" s="25">
        <v>8000</v>
      </c>
      <c r="G64" s="25">
        <f t="shared" si="34"/>
        <v>80000</v>
      </c>
      <c r="H64" s="268">
        <f t="shared" ref="H64" si="38">G64/589.84</f>
        <v>135.6300013563</v>
      </c>
      <c r="I64" s="642">
        <f t="shared" si="36"/>
        <v>2400</v>
      </c>
      <c r="J64" s="642">
        <f>1600*D64</f>
        <v>1600</v>
      </c>
      <c r="K64" s="642">
        <f t="shared" si="37"/>
        <v>80000</v>
      </c>
      <c r="L64" s="501"/>
      <c r="M64" s="501"/>
      <c r="N64" s="501"/>
      <c r="O64" s="500"/>
    </row>
    <row r="65" spans="1:15" ht="16.5" thickBot="1" x14ac:dyDescent="0.3">
      <c r="A65" s="22">
        <v>6</v>
      </c>
      <c r="B65" s="26" t="s">
        <v>1155</v>
      </c>
      <c r="C65" s="23" t="s">
        <v>28</v>
      </c>
      <c r="D65" s="24">
        <v>1</v>
      </c>
      <c r="E65" s="23">
        <v>10</v>
      </c>
      <c r="F65" s="25">
        <v>8000</v>
      </c>
      <c r="G65" s="25">
        <f t="shared" si="34"/>
        <v>80000</v>
      </c>
      <c r="H65" s="268">
        <f t="shared" si="35"/>
        <v>135.6300013563</v>
      </c>
      <c r="I65" s="642">
        <f t="shared" si="36"/>
        <v>2400</v>
      </c>
      <c r="J65" s="642">
        <f>1600*D65</f>
        <v>1600</v>
      </c>
      <c r="K65" s="642">
        <f t="shared" si="37"/>
        <v>80000</v>
      </c>
      <c r="L65" s="501"/>
      <c r="M65" s="501"/>
      <c r="N65" s="501"/>
      <c r="O65" s="500"/>
    </row>
    <row r="66" spans="1:15" ht="18.75" thickBot="1" x14ac:dyDescent="0.3">
      <c r="A66" s="341"/>
      <c r="B66" s="342" t="s">
        <v>1399</v>
      </c>
      <c r="C66" s="343"/>
      <c r="D66" s="343"/>
      <c r="E66" s="343"/>
      <c r="F66" s="344"/>
      <c r="G66" s="344">
        <f>SUM(G60:G65)</f>
        <v>1069000</v>
      </c>
      <c r="H66" s="516">
        <f>SUM(H60:H65)</f>
        <v>1812.3558931235589</v>
      </c>
      <c r="I66" s="263">
        <f>SUM(I60:I65)</f>
        <v>32070</v>
      </c>
      <c r="J66" s="263">
        <f>SUM(J60:J65)</f>
        <v>25250</v>
      </c>
      <c r="K66" s="12"/>
      <c r="L66" s="501"/>
      <c r="M66" s="501"/>
      <c r="N66" s="501"/>
      <c r="O66" s="500"/>
    </row>
    <row r="67" spans="1:15" ht="16.5" thickBot="1" x14ac:dyDescent="0.3">
      <c r="A67" s="22">
        <v>1</v>
      </c>
      <c r="B67" s="26" t="s">
        <v>1156</v>
      </c>
      <c r="C67" s="23" t="s">
        <v>28</v>
      </c>
      <c r="D67" s="24">
        <v>12</v>
      </c>
      <c r="E67" s="23">
        <v>10</v>
      </c>
      <c r="F67" s="25">
        <v>7500</v>
      </c>
      <c r="G67" s="25">
        <f t="shared" ref="G67:G72" si="39">D67*E67*F67</f>
        <v>900000</v>
      </c>
      <c r="H67" s="544">
        <f>G67/589.84</f>
        <v>1525.8375152583751</v>
      </c>
      <c r="I67" s="642">
        <f>G67*0.03</f>
        <v>27000</v>
      </c>
      <c r="J67" s="642">
        <f>1600*D67</f>
        <v>19200</v>
      </c>
      <c r="K67" s="642">
        <f>G67/D67</f>
        <v>75000</v>
      </c>
      <c r="L67" s="501"/>
      <c r="M67" s="501"/>
      <c r="N67" s="501"/>
      <c r="O67" s="500"/>
    </row>
    <row r="68" spans="1:15" x14ac:dyDescent="0.25">
      <c r="A68" s="22">
        <v>2</v>
      </c>
      <c r="B68" s="26" t="s">
        <v>1157</v>
      </c>
      <c r="C68" s="23" t="s">
        <v>28</v>
      </c>
      <c r="D68" s="24">
        <v>6</v>
      </c>
      <c r="E68" s="23">
        <v>10</v>
      </c>
      <c r="F68" s="25">
        <v>3000</v>
      </c>
      <c r="G68" s="25">
        <f t="shared" si="39"/>
        <v>180000</v>
      </c>
      <c r="H68" s="268">
        <f t="shared" ref="H68:H72" si="40">G68/589.84</f>
        <v>305.167503051675</v>
      </c>
      <c r="I68" s="642">
        <f t="shared" ref="I68:I72" si="41">G68*0.03</f>
        <v>5400</v>
      </c>
      <c r="J68" s="642">
        <f>1050*D68</f>
        <v>6300</v>
      </c>
      <c r="K68" s="642">
        <f t="shared" ref="K68:K72" si="42">G68/D68</f>
        <v>30000</v>
      </c>
      <c r="L68" s="501"/>
      <c r="M68" s="501"/>
      <c r="N68" s="501"/>
      <c r="O68" s="500"/>
    </row>
    <row r="69" spans="1:15" ht="28.5" x14ac:dyDescent="0.25">
      <c r="A69" s="22">
        <v>3</v>
      </c>
      <c r="B69" s="26" t="s">
        <v>1158</v>
      </c>
      <c r="C69" s="23" t="s">
        <v>28</v>
      </c>
      <c r="D69" s="24">
        <v>1</v>
      </c>
      <c r="E69" s="23">
        <v>10</v>
      </c>
      <c r="F69" s="25">
        <v>7500</v>
      </c>
      <c r="G69" s="25">
        <f t="shared" si="39"/>
        <v>75000</v>
      </c>
      <c r="H69" s="268">
        <f t="shared" si="40"/>
        <v>127.15312627153125</v>
      </c>
      <c r="I69" s="642">
        <f t="shared" si="41"/>
        <v>2250</v>
      </c>
      <c r="J69" s="642">
        <f>1600*D69</f>
        <v>1600</v>
      </c>
      <c r="K69" s="642">
        <f t="shared" si="42"/>
        <v>75000</v>
      </c>
      <c r="L69" s="501"/>
      <c r="M69" s="501"/>
      <c r="N69" s="501"/>
      <c r="O69" s="500"/>
    </row>
    <row r="70" spans="1:15" x14ac:dyDescent="0.25">
      <c r="A70" s="22">
        <v>4</v>
      </c>
      <c r="B70" s="26" t="s">
        <v>1366</v>
      </c>
      <c r="C70" s="23" t="s">
        <v>28</v>
      </c>
      <c r="D70" s="24">
        <v>15</v>
      </c>
      <c r="E70" s="23">
        <v>7</v>
      </c>
      <c r="F70" s="25">
        <v>3000</v>
      </c>
      <c r="G70" s="25">
        <f t="shared" si="39"/>
        <v>315000</v>
      </c>
      <c r="H70" s="268">
        <f t="shared" si="40"/>
        <v>534.04313034043128</v>
      </c>
      <c r="I70" s="642">
        <f t="shared" si="41"/>
        <v>9450</v>
      </c>
      <c r="J70" s="642">
        <f>550*D70</f>
        <v>8250</v>
      </c>
      <c r="K70" s="642">
        <f t="shared" si="42"/>
        <v>21000</v>
      </c>
      <c r="L70" s="501"/>
      <c r="M70" s="501"/>
      <c r="N70" s="501"/>
      <c r="O70" s="500"/>
    </row>
    <row r="71" spans="1:15" x14ac:dyDescent="0.25">
      <c r="A71" s="22">
        <v>5</v>
      </c>
      <c r="B71" s="26" t="s">
        <v>1338</v>
      </c>
      <c r="C71" s="23" t="s">
        <v>28</v>
      </c>
      <c r="D71" s="24">
        <v>1</v>
      </c>
      <c r="E71" s="23">
        <v>10</v>
      </c>
      <c r="F71" s="25">
        <v>8000</v>
      </c>
      <c r="G71" s="25">
        <f t="shared" si="39"/>
        <v>80000</v>
      </c>
      <c r="H71" s="268">
        <f t="shared" ref="H71" si="43">G71/589.84</f>
        <v>135.6300013563</v>
      </c>
      <c r="I71" s="642">
        <f t="shared" si="41"/>
        <v>2400</v>
      </c>
      <c r="J71" s="642">
        <f>1600*D71</f>
        <v>1600</v>
      </c>
      <c r="K71" s="642">
        <f t="shared" si="42"/>
        <v>80000</v>
      </c>
      <c r="L71" s="501"/>
      <c r="M71" s="501"/>
      <c r="N71" s="501"/>
      <c r="O71" s="500"/>
    </row>
    <row r="72" spans="1:15" ht="16.5" thickBot="1" x14ac:dyDescent="0.3">
      <c r="A72" s="22">
        <v>6</v>
      </c>
      <c r="B72" s="26" t="s">
        <v>1159</v>
      </c>
      <c r="C72" s="23" t="s">
        <v>28</v>
      </c>
      <c r="D72" s="24">
        <v>2</v>
      </c>
      <c r="E72" s="23">
        <v>10</v>
      </c>
      <c r="F72" s="25">
        <v>8000</v>
      </c>
      <c r="G72" s="25">
        <f t="shared" si="39"/>
        <v>160000</v>
      </c>
      <c r="H72" s="268">
        <f t="shared" si="40"/>
        <v>271.2600027126</v>
      </c>
      <c r="I72" s="642">
        <f t="shared" si="41"/>
        <v>4800</v>
      </c>
      <c r="J72" s="642">
        <f>1600*D72</f>
        <v>3200</v>
      </c>
      <c r="K72" s="642">
        <f t="shared" si="42"/>
        <v>80000</v>
      </c>
      <c r="L72" s="501"/>
      <c r="M72" s="501"/>
      <c r="N72" s="501"/>
      <c r="O72" s="500"/>
    </row>
    <row r="73" spans="1:15" ht="18.75" thickBot="1" x14ac:dyDescent="0.3">
      <c r="A73" s="341"/>
      <c r="B73" s="342" t="s">
        <v>1399</v>
      </c>
      <c r="C73" s="343"/>
      <c r="D73" s="343"/>
      <c r="E73" s="343"/>
      <c r="F73" s="344"/>
      <c r="G73" s="344">
        <f>SUM(G67:G72)</f>
        <v>1710000</v>
      </c>
      <c r="H73" s="516">
        <f>SUM(H67:H72)</f>
        <v>2899.0912789909125</v>
      </c>
      <c r="I73" s="263">
        <f>SUM(I67:I72)</f>
        <v>51300</v>
      </c>
      <c r="J73" s="263">
        <f>SUM(J67:J72)</f>
        <v>40150</v>
      </c>
      <c r="K73" s="12"/>
      <c r="L73" s="501"/>
      <c r="M73" s="501"/>
      <c r="N73" s="501"/>
      <c r="O73" s="500"/>
    </row>
    <row r="74" spans="1:15" ht="16.5" thickBot="1" x14ac:dyDescent="0.3">
      <c r="A74" s="22">
        <v>1</v>
      </c>
      <c r="B74" s="26" t="s">
        <v>1160</v>
      </c>
      <c r="C74" s="23" t="s">
        <v>28</v>
      </c>
      <c r="D74" s="24">
        <v>4</v>
      </c>
      <c r="E74" s="23">
        <v>10</v>
      </c>
      <c r="F74" s="25">
        <v>7500</v>
      </c>
      <c r="G74" s="25">
        <f t="shared" ref="G74:G79" si="44">D74*E74*F74</f>
        <v>300000</v>
      </c>
      <c r="H74" s="544">
        <f>G74/589.84</f>
        <v>508.612505086125</v>
      </c>
      <c r="I74" s="642">
        <f>G74*0.03</f>
        <v>9000</v>
      </c>
      <c r="J74" s="642">
        <f>1600*D74</f>
        <v>6400</v>
      </c>
      <c r="K74" s="642">
        <f>G74/D74</f>
        <v>75000</v>
      </c>
      <c r="L74" s="501"/>
      <c r="M74" s="501"/>
      <c r="N74" s="501"/>
      <c r="O74" s="500"/>
    </row>
    <row r="75" spans="1:15" x14ac:dyDescent="0.25">
      <c r="A75" s="22">
        <v>2</v>
      </c>
      <c r="B75" s="26" t="s">
        <v>1161</v>
      </c>
      <c r="C75" s="23" t="s">
        <v>28</v>
      </c>
      <c r="D75" s="24">
        <v>2</v>
      </c>
      <c r="E75" s="23">
        <v>10</v>
      </c>
      <c r="F75" s="25">
        <v>3000</v>
      </c>
      <c r="G75" s="25">
        <f t="shared" si="44"/>
        <v>60000</v>
      </c>
      <c r="H75" s="268">
        <f t="shared" ref="H75:H79" si="45">G75/589.84</f>
        <v>101.722501017225</v>
      </c>
      <c r="I75" s="642">
        <f t="shared" ref="I75:I79" si="46">G75*0.03</f>
        <v>1800</v>
      </c>
      <c r="J75" s="642">
        <f>1050*D75</f>
        <v>2100</v>
      </c>
      <c r="K75" s="642">
        <f t="shared" ref="K75:K79" si="47">G75/D75</f>
        <v>30000</v>
      </c>
      <c r="L75" s="501"/>
      <c r="M75" s="501"/>
      <c r="N75" s="501"/>
      <c r="O75" s="500"/>
    </row>
    <row r="76" spans="1:15" x14ac:dyDescent="0.25">
      <c r="A76" s="22">
        <v>3</v>
      </c>
      <c r="B76" s="26" t="s">
        <v>1162</v>
      </c>
      <c r="C76" s="23" t="s">
        <v>28</v>
      </c>
      <c r="D76" s="24">
        <v>1</v>
      </c>
      <c r="E76" s="23">
        <v>10</v>
      </c>
      <c r="F76" s="25">
        <v>7500</v>
      </c>
      <c r="G76" s="25">
        <f t="shared" si="44"/>
        <v>75000</v>
      </c>
      <c r="H76" s="268">
        <f t="shared" si="45"/>
        <v>127.15312627153125</v>
      </c>
      <c r="I76" s="642">
        <f t="shared" si="46"/>
        <v>2250</v>
      </c>
      <c r="J76" s="642">
        <f>1600*D76</f>
        <v>1600</v>
      </c>
      <c r="K76" s="642">
        <f t="shared" si="47"/>
        <v>75000</v>
      </c>
      <c r="L76" s="501"/>
      <c r="M76" s="501"/>
      <c r="N76" s="501"/>
      <c r="O76" s="500"/>
    </row>
    <row r="77" spans="1:15" x14ac:dyDescent="0.25">
      <c r="A77" s="22">
        <v>4</v>
      </c>
      <c r="B77" s="26" t="s">
        <v>1366</v>
      </c>
      <c r="C77" s="23" t="s">
        <v>28</v>
      </c>
      <c r="D77" s="24">
        <v>13</v>
      </c>
      <c r="E77" s="23">
        <v>7</v>
      </c>
      <c r="F77" s="25">
        <v>3000</v>
      </c>
      <c r="G77" s="25">
        <f t="shared" si="44"/>
        <v>273000</v>
      </c>
      <c r="H77" s="268">
        <f t="shared" si="45"/>
        <v>462.83737962837375</v>
      </c>
      <c r="I77" s="642">
        <f t="shared" si="46"/>
        <v>8190</v>
      </c>
      <c r="J77" s="642">
        <f>550*D77</f>
        <v>7150</v>
      </c>
      <c r="K77" s="642">
        <f t="shared" si="47"/>
        <v>21000</v>
      </c>
      <c r="L77" s="501"/>
      <c r="M77" s="501"/>
      <c r="N77" s="501"/>
      <c r="O77" s="500"/>
    </row>
    <row r="78" spans="1:15" x14ac:dyDescent="0.25">
      <c r="A78" s="22">
        <v>5</v>
      </c>
      <c r="B78" s="26" t="s">
        <v>1338</v>
      </c>
      <c r="C78" s="23" t="s">
        <v>28</v>
      </c>
      <c r="D78" s="24">
        <v>1</v>
      </c>
      <c r="E78" s="23">
        <v>10</v>
      </c>
      <c r="F78" s="25">
        <v>8000</v>
      </c>
      <c r="G78" s="25">
        <f t="shared" si="44"/>
        <v>80000</v>
      </c>
      <c r="H78" s="268">
        <f t="shared" ref="H78" si="48">G78/589.84</f>
        <v>135.6300013563</v>
      </c>
      <c r="I78" s="642">
        <f t="shared" si="46"/>
        <v>2400</v>
      </c>
      <c r="J78" s="642">
        <f>1600*D78</f>
        <v>1600</v>
      </c>
      <c r="K78" s="642">
        <f t="shared" si="47"/>
        <v>80000</v>
      </c>
      <c r="L78" s="501"/>
      <c r="M78" s="501"/>
      <c r="N78" s="501"/>
      <c r="O78" s="500"/>
    </row>
    <row r="79" spans="1:15" ht="16.5" thickBot="1" x14ac:dyDescent="0.3">
      <c r="A79" s="22">
        <v>6</v>
      </c>
      <c r="B79" s="26" t="s">
        <v>1163</v>
      </c>
      <c r="C79" s="23" t="s">
        <v>28</v>
      </c>
      <c r="D79" s="24">
        <v>1</v>
      </c>
      <c r="E79" s="23">
        <v>10</v>
      </c>
      <c r="F79" s="25">
        <v>8000</v>
      </c>
      <c r="G79" s="25">
        <f t="shared" si="44"/>
        <v>80000</v>
      </c>
      <c r="H79" s="268">
        <f t="shared" si="45"/>
        <v>135.6300013563</v>
      </c>
      <c r="I79" s="642">
        <f t="shared" si="46"/>
        <v>2400</v>
      </c>
      <c r="J79" s="642">
        <f>1600*D79</f>
        <v>1600</v>
      </c>
      <c r="K79" s="642">
        <f t="shared" si="47"/>
        <v>80000</v>
      </c>
      <c r="L79" s="501"/>
      <c r="M79" s="501"/>
      <c r="N79" s="501"/>
      <c r="O79" s="500"/>
    </row>
    <row r="80" spans="1:15" ht="18.75" thickBot="1" x14ac:dyDescent="0.3">
      <c r="A80" s="341"/>
      <c r="B80" s="342" t="s">
        <v>1399</v>
      </c>
      <c r="C80" s="343"/>
      <c r="D80" s="343"/>
      <c r="E80" s="343"/>
      <c r="F80" s="344"/>
      <c r="G80" s="344">
        <f>SUM(G74:G79)</f>
        <v>868000</v>
      </c>
      <c r="H80" s="516">
        <f>SUM(H74:H79)</f>
        <v>1471.585514715855</v>
      </c>
      <c r="I80" s="263">
        <f>SUM(I74:I79)</f>
        <v>26040</v>
      </c>
      <c r="J80" s="263">
        <f>SUM(J74:J79)</f>
        <v>20450</v>
      </c>
      <c r="K80" s="12"/>
      <c r="L80" s="501"/>
      <c r="M80" s="501"/>
      <c r="N80" s="501"/>
      <c r="O80" s="500"/>
    </row>
    <row r="81" spans="1:15" ht="16.5" thickBot="1" x14ac:dyDescent="0.3">
      <c r="A81" s="22">
        <v>1</v>
      </c>
      <c r="B81" s="26" t="s">
        <v>1164</v>
      </c>
      <c r="C81" s="23" t="s">
        <v>28</v>
      </c>
      <c r="D81" s="24">
        <v>4</v>
      </c>
      <c r="E81" s="23">
        <v>10</v>
      </c>
      <c r="F81" s="25">
        <v>7500</v>
      </c>
      <c r="G81" s="25">
        <f t="shared" ref="G81:G86" si="49">D81*E81*F81</f>
        <v>300000</v>
      </c>
      <c r="H81" s="544">
        <f>G81/589.84</f>
        <v>508.612505086125</v>
      </c>
      <c r="I81" s="642">
        <f>G81*0.03</f>
        <v>9000</v>
      </c>
      <c r="J81" s="642">
        <f>1600*D81</f>
        <v>6400</v>
      </c>
      <c r="K81" s="642">
        <f>G81/D81</f>
        <v>75000</v>
      </c>
      <c r="L81" s="501"/>
      <c r="M81" s="501"/>
      <c r="N81" s="501"/>
      <c r="O81" s="500"/>
    </row>
    <row r="82" spans="1:15" x14ac:dyDescent="0.25">
      <c r="A82" s="22">
        <v>2</v>
      </c>
      <c r="B82" s="26" t="s">
        <v>1165</v>
      </c>
      <c r="C82" s="23" t="s">
        <v>28</v>
      </c>
      <c r="D82" s="24">
        <v>2</v>
      </c>
      <c r="E82" s="23">
        <v>10</v>
      </c>
      <c r="F82" s="25">
        <v>3000</v>
      </c>
      <c r="G82" s="25">
        <f t="shared" si="49"/>
        <v>60000</v>
      </c>
      <c r="H82" s="268">
        <f t="shared" ref="H82:H86" si="50">G82/589.84</f>
        <v>101.722501017225</v>
      </c>
      <c r="I82" s="642">
        <f t="shared" ref="I82:I86" si="51">G82*0.03</f>
        <v>1800</v>
      </c>
      <c r="J82" s="642">
        <f>1050*D82</f>
        <v>2100</v>
      </c>
      <c r="K82" s="642">
        <f t="shared" ref="K82:K86" si="52">G82/D82</f>
        <v>30000</v>
      </c>
      <c r="L82" s="501"/>
      <c r="M82" s="501"/>
      <c r="N82" s="501"/>
      <c r="O82" s="500"/>
    </row>
    <row r="83" spans="1:15" x14ac:dyDescent="0.25">
      <c r="A83" s="22">
        <v>3</v>
      </c>
      <c r="B83" s="26" t="s">
        <v>1166</v>
      </c>
      <c r="C83" s="23" t="s">
        <v>28</v>
      </c>
      <c r="D83" s="24">
        <v>1</v>
      </c>
      <c r="E83" s="23">
        <v>10</v>
      </c>
      <c r="F83" s="25">
        <v>7500</v>
      </c>
      <c r="G83" s="25">
        <f t="shared" si="49"/>
        <v>75000</v>
      </c>
      <c r="H83" s="268">
        <f t="shared" si="50"/>
        <v>127.15312627153125</v>
      </c>
      <c r="I83" s="642">
        <f t="shared" si="51"/>
        <v>2250</v>
      </c>
      <c r="J83" s="642">
        <f>1600*D83</f>
        <v>1600</v>
      </c>
      <c r="K83" s="642">
        <f t="shared" si="52"/>
        <v>75000</v>
      </c>
      <c r="L83" s="501"/>
      <c r="M83" s="501"/>
      <c r="N83" s="501"/>
      <c r="O83" s="500"/>
    </row>
    <row r="84" spans="1:15" x14ac:dyDescent="0.25">
      <c r="A84" s="22">
        <v>4</v>
      </c>
      <c r="B84" s="26" t="s">
        <v>1366</v>
      </c>
      <c r="C84" s="23" t="s">
        <v>28</v>
      </c>
      <c r="D84" s="24">
        <v>14</v>
      </c>
      <c r="E84" s="23">
        <v>7</v>
      </c>
      <c r="F84" s="25">
        <v>3000</v>
      </c>
      <c r="G84" s="25">
        <f t="shared" si="49"/>
        <v>294000</v>
      </c>
      <c r="H84" s="268">
        <f t="shared" si="50"/>
        <v>498.44025498440254</v>
      </c>
      <c r="I84" s="642">
        <f t="shared" si="51"/>
        <v>8820</v>
      </c>
      <c r="J84" s="642">
        <f>550*D84</f>
        <v>7700</v>
      </c>
      <c r="K84" s="642">
        <f t="shared" si="52"/>
        <v>21000</v>
      </c>
      <c r="L84" s="501"/>
      <c r="M84" s="501"/>
      <c r="N84" s="501"/>
      <c r="O84" s="500"/>
    </row>
    <row r="85" spans="1:15" x14ac:dyDescent="0.25">
      <c r="A85" s="22">
        <v>5</v>
      </c>
      <c r="B85" s="26" t="s">
        <v>1338</v>
      </c>
      <c r="C85" s="23" t="s">
        <v>28</v>
      </c>
      <c r="D85" s="24">
        <v>1</v>
      </c>
      <c r="E85" s="23">
        <v>10</v>
      </c>
      <c r="F85" s="25">
        <v>8000</v>
      </c>
      <c r="G85" s="25">
        <f t="shared" si="49"/>
        <v>80000</v>
      </c>
      <c r="H85" s="268">
        <f t="shared" si="50"/>
        <v>135.6300013563</v>
      </c>
      <c r="I85" s="642">
        <f t="shared" si="51"/>
        <v>2400</v>
      </c>
      <c r="J85" s="642">
        <f>1600*D85</f>
        <v>1600</v>
      </c>
      <c r="K85" s="642">
        <f t="shared" si="52"/>
        <v>80000</v>
      </c>
      <c r="L85" s="501"/>
      <c r="M85" s="501"/>
      <c r="N85" s="501"/>
      <c r="O85" s="500"/>
    </row>
    <row r="86" spans="1:15" ht="16.5" thickBot="1" x14ac:dyDescent="0.3">
      <c r="A86" s="22">
        <v>6</v>
      </c>
      <c r="B86" s="26" t="s">
        <v>1167</v>
      </c>
      <c r="C86" s="23" t="s">
        <v>28</v>
      </c>
      <c r="D86" s="24">
        <v>1</v>
      </c>
      <c r="E86" s="23">
        <v>10</v>
      </c>
      <c r="F86" s="25">
        <v>8000</v>
      </c>
      <c r="G86" s="25">
        <f t="shared" si="49"/>
        <v>80000</v>
      </c>
      <c r="H86" s="268">
        <f t="shared" si="50"/>
        <v>135.6300013563</v>
      </c>
      <c r="I86" s="642">
        <f t="shared" si="51"/>
        <v>2400</v>
      </c>
      <c r="J86" s="642">
        <f>1600*D86</f>
        <v>1600</v>
      </c>
      <c r="K86" s="642">
        <f t="shared" si="52"/>
        <v>80000</v>
      </c>
      <c r="L86" s="501"/>
      <c r="M86" s="501"/>
      <c r="N86" s="501"/>
      <c r="O86" s="500"/>
    </row>
    <row r="87" spans="1:15" ht="18.75" thickBot="1" x14ac:dyDescent="0.3">
      <c r="A87" s="341"/>
      <c r="B87" s="342" t="s">
        <v>1399</v>
      </c>
      <c r="C87" s="343"/>
      <c r="D87" s="343"/>
      <c r="E87" s="343"/>
      <c r="F87" s="344"/>
      <c r="G87" s="344">
        <f>SUM(G81:G86)</f>
        <v>889000</v>
      </c>
      <c r="H87" s="516">
        <f>SUM(H81:H86)</f>
        <v>1507.1883900718838</v>
      </c>
      <c r="I87" s="263">
        <f>SUM(I81:I86)</f>
        <v>26670</v>
      </c>
      <c r="J87" s="263">
        <f>SUM(J81:J86)</f>
        <v>21000</v>
      </c>
      <c r="K87" s="12"/>
      <c r="L87" s="501"/>
      <c r="M87" s="501"/>
      <c r="N87" s="501"/>
      <c r="O87" s="500"/>
    </row>
    <row r="88" spans="1:15" ht="16.5" thickBot="1" x14ac:dyDescent="0.3">
      <c r="A88" s="22">
        <v>1</v>
      </c>
      <c r="B88" s="26" t="s">
        <v>1168</v>
      </c>
      <c r="C88" s="23" t="s">
        <v>28</v>
      </c>
      <c r="D88" s="24">
        <v>16</v>
      </c>
      <c r="E88" s="23">
        <v>10</v>
      </c>
      <c r="F88" s="25">
        <v>7500</v>
      </c>
      <c r="G88" s="25">
        <f t="shared" ref="G88:G93" si="53">D88*E88*F88</f>
        <v>1200000</v>
      </c>
      <c r="H88" s="544">
        <f>G88/589.84</f>
        <v>2034.4500203445</v>
      </c>
      <c r="I88" s="642">
        <f>G88*0.03</f>
        <v>36000</v>
      </c>
      <c r="J88" s="642">
        <f>1600*D88</f>
        <v>25600</v>
      </c>
      <c r="K88" s="642">
        <f>G88/D88</f>
        <v>75000</v>
      </c>
      <c r="L88" s="501"/>
      <c r="M88" s="501"/>
      <c r="N88" s="501"/>
      <c r="O88" s="500"/>
    </row>
    <row r="89" spans="1:15" x14ac:dyDescent="0.25">
      <c r="A89" s="22">
        <v>2</v>
      </c>
      <c r="B89" s="26" t="s">
        <v>1169</v>
      </c>
      <c r="C89" s="23" t="s">
        <v>28</v>
      </c>
      <c r="D89" s="24">
        <v>8</v>
      </c>
      <c r="E89" s="23">
        <v>10</v>
      </c>
      <c r="F89" s="25">
        <v>3000</v>
      </c>
      <c r="G89" s="25">
        <f t="shared" si="53"/>
        <v>240000</v>
      </c>
      <c r="H89" s="268">
        <f t="shared" ref="H89:H93" si="54">G89/589.84</f>
        <v>406.8900040689</v>
      </c>
      <c r="I89" s="642">
        <f t="shared" ref="I89:I93" si="55">G89*0.03</f>
        <v>7200</v>
      </c>
      <c r="J89" s="642">
        <f>1050*D89</f>
        <v>8400</v>
      </c>
      <c r="K89" s="642">
        <f t="shared" ref="K89:K93" si="56">G89/D89</f>
        <v>30000</v>
      </c>
      <c r="L89" s="501"/>
      <c r="M89" s="501"/>
      <c r="N89" s="501"/>
      <c r="O89" s="500"/>
    </row>
    <row r="90" spans="1:15" x14ac:dyDescent="0.25">
      <c r="A90" s="22">
        <v>3</v>
      </c>
      <c r="B90" s="26" t="s">
        <v>1170</v>
      </c>
      <c r="C90" s="23" t="s">
        <v>28</v>
      </c>
      <c r="D90" s="24">
        <v>1</v>
      </c>
      <c r="E90" s="23">
        <v>10</v>
      </c>
      <c r="F90" s="25">
        <v>7500</v>
      </c>
      <c r="G90" s="25">
        <f t="shared" si="53"/>
        <v>75000</v>
      </c>
      <c r="H90" s="268">
        <f t="shared" si="54"/>
        <v>127.15312627153125</v>
      </c>
      <c r="I90" s="642">
        <f t="shared" si="55"/>
        <v>2250</v>
      </c>
      <c r="J90" s="642">
        <f>1600*D90</f>
        <v>1600</v>
      </c>
      <c r="K90" s="642">
        <f t="shared" si="56"/>
        <v>75000</v>
      </c>
      <c r="L90" s="501"/>
      <c r="M90" s="501"/>
      <c r="N90" s="501"/>
      <c r="O90" s="500"/>
    </row>
    <row r="91" spans="1:15" x14ac:dyDescent="0.25">
      <c r="A91" s="22">
        <v>4</v>
      </c>
      <c r="B91" s="26" t="s">
        <v>1366</v>
      </c>
      <c r="C91" s="23" t="s">
        <v>28</v>
      </c>
      <c r="D91" s="24">
        <v>22</v>
      </c>
      <c r="E91" s="23">
        <v>7</v>
      </c>
      <c r="F91" s="25">
        <v>3000</v>
      </c>
      <c r="G91" s="25">
        <f t="shared" si="53"/>
        <v>462000</v>
      </c>
      <c r="H91" s="268">
        <f t="shared" si="54"/>
        <v>783.26325783263258</v>
      </c>
      <c r="I91" s="642">
        <f t="shared" si="55"/>
        <v>13860</v>
      </c>
      <c r="J91" s="642">
        <f>550*D91</f>
        <v>12100</v>
      </c>
      <c r="K91" s="642">
        <f t="shared" si="56"/>
        <v>21000</v>
      </c>
      <c r="L91" s="501"/>
      <c r="M91" s="501"/>
      <c r="N91" s="501"/>
      <c r="O91" s="500"/>
    </row>
    <row r="92" spans="1:15" x14ac:dyDescent="0.25">
      <c r="A92" s="22">
        <v>5</v>
      </c>
      <c r="B92" s="26" t="s">
        <v>1338</v>
      </c>
      <c r="C92" s="23" t="s">
        <v>28</v>
      </c>
      <c r="D92" s="24">
        <v>1</v>
      </c>
      <c r="E92" s="23">
        <v>10</v>
      </c>
      <c r="F92" s="25">
        <v>8000</v>
      </c>
      <c r="G92" s="25">
        <f t="shared" si="53"/>
        <v>80000</v>
      </c>
      <c r="H92" s="268">
        <f t="shared" ref="H92" si="57">G92/589.84</f>
        <v>135.6300013563</v>
      </c>
      <c r="I92" s="642">
        <f t="shared" si="55"/>
        <v>2400</v>
      </c>
      <c r="J92" s="642">
        <f>1600*D92</f>
        <v>1600</v>
      </c>
      <c r="K92" s="642">
        <f t="shared" si="56"/>
        <v>80000</v>
      </c>
      <c r="L92" s="501"/>
      <c r="M92" s="501"/>
      <c r="N92" s="501"/>
      <c r="O92" s="500"/>
    </row>
    <row r="93" spans="1:15" ht="16.5" thickBot="1" x14ac:dyDescent="0.3">
      <c r="A93" s="22">
        <v>6</v>
      </c>
      <c r="B93" s="26" t="s">
        <v>1171</v>
      </c>
      <c r="C93" s="23" t="s">
        <v>28</v>
      </c>
      <c r="D93" s="24">
        <v>2</v>
      </c>
      <c r="E93" s="23">
        <v>10</v>
      </c>
      <c r="F93" s="25">
        <v>8000</v>
      </c>
      <c r="G93" s="25">
        <f t="shared" si="53"/>
        <v>160000</v>
      </c>
      <c r="H93" s="268">
        <f t="shared" si="54"/>
        <v>271.2600027126</v>
      </c>
      <c r="I93" s="642">
        <f t="shared" si="55"/>
        <v>4800</v>
      </c>
      <c r="J93" s="642">
        <f>1600*D93</f>
        <v>3200</v>
      </c>
      <c r="K93" s="642">
        <f t="shared" si="56"/>
        <v>80000</v>
      </c>
      <c r="L93" s="501"/>
      <c r="M93" s="501"/>
      <c r="N93" s="501"/>
      <c r="O93" s="500"/>
    </row>
    <row r="94" spans="1:15" ht="18.75" thickBot="1" x14ac:dyDescent="0.3">
      <c r="A94" s="341"/>
      <c r="B94" s="342" t="s">
        <v>1399</v>
      </c>
      <c r="C94" s="343"/>
      <c r="D94" s="343"/>
      <c r="E94" s="343"/>
      <c r="F94" s="344"/>
      <c r="G94" s="344">
        <f>SUM(G88:G93)</f>
        <v>2217000</v>
      </c>
      <c r="H94" s="516">
        <f>SUM(H88:H93)</f>
        <v>3758.6464125864636</v>
      </c>
      <c r="I94" s="263">
        <f>SUM(I88:I93)</f>
        <v>66510</v>
      </c>
      <c r="J94" s="263">
        <f>SUM(J88:J93)</f>
        <v>52500</v>
      </c>
      <c r="K94" s="12"/>
      <c r="L94" s="501"/>
      <c r="M94" s="501"/>
      <c r="N94" s="501"/>
      <c r="O94" s="500"/>
    </row>
    <row r="95" spans="1:15" ht="16.5" thickBot="1" x14ac:dyDescent="0.3">
      <c r="A95" s="22">
        <v>1</v>
      </c>
      <c r="B95" s="26" t="s">
        <v>1172</v>
      </c>
      <c r="C95" s="23" t="s">
        <v>28</v>
      </c>
      <c r="D95" s="24">
        <v>2</v>
      </c>
      <c r="E95" s="23">
        <v>10</v>
      </c>
      <c r="F95" s="25">
        <v>7500</v>
      </c>
      <c r="G95" s="25">
        <f t="shared" ref="G95:G100" si="58">D95*E95*F95</f>
        <v>150000</v>
      </c>
      <c r="H95" s="544">
        <f>G95/589.84</f>
        <v>254.3062525430625</v>
      </c>
      <c r="I95" s="642">
        <f>G95*0.03</f>
        <v>4500</v>
      </c>
      <c r="J95" s="642">
        <f>1600*D95</f>
        <v>3200</v>
      </c>
      <c r="K95" s="642">
        <f>G95/D95</f>
        <v>75000</v>
      </c>
      <c r="L95" s="501"/>
      <c r="M95" s="501"/>
      <c r="N95" s="501"/>
      <c r="O95" s="500"/>
    </row>
    <row r="96" spans="1:15" x14ac:dyDescent="0.25">
      <c r="A96" s="22">
        <v>2</v>
      </c>
      <c r="B96" s="26" t="s">
        <v>1173</v>
      </c>
      <c r="C96" s="23" t="s">
        <v>28</v>
      </c>
      <c r="D96" s="24">
        <v>1</v>
      </c>
      <c r="E96" s="23">
        <v>10</v>
      </c>
      <c r="F96" s="25">
        <v>3000</v>
      </c>
      <c r="G96" s="25">
        <f t="shared" si="58"/>
        <v>30000</v>
      </c>
      <c r="H96" s="268">
        <f t="shared" ref="H96:H98" si="59">G96/589.84</f>
        <v>50.8612505086125</v>
      </c>
      <c r="I96" s="642">
        <f t="shared" ref="I96:I100" si="60">G96*0.03</f>
        <v>900</v>
      </c>
      <c r="J96" s="642">
        <f>1050*D96</f>
        <v>1050</v>
      </c>
      <c r="K96" s="642">
        <f t="shared" ref="K96:K100" si="61">G96/D96</f>
        <v>30000</v>
      </c>
      <c r="L96" s="501"/>
      <c r="M96" s="501"/>
      <c r="N96" s="501"/>
      <c r="O96" s="500"/>
    </row>
    <row r="97" spans="1:15" x14ac:dyDescent="0.25">
      <c r="A97" s="22">
        <v>3</v>
      </c>
      <c r="B97" s="26" t="s">
        <v>1174</v>
      </c>
      <c r="C97" s="23" t="s">
        <v>28</v>
      </c>
      <c r="D97" s="24">
        <v>1</v>
      </c>
      <c r="E97" s="23">
        <v>10</v>
      </c>
      <c r="F97" s="25">
        <v>7500</v>
      </c>
      <c r="G97" s="25">
        <f t="shared" si="58"/>
        <v>75000</v>
      </c>
      <c r="H97" s="268">
        <f t="shared" si="59"/>
        <v>127.15312627153125</v>
      </c>
      <c r="I97" s="642">
        <f t="shared" si="60"/>
        <v>2250</v>
      </c>
      <c r="J97" s="642">
        <f>1600*D97</f>
        <v>1600</v>
      </c>
      <c r="K97" s="642">
        <f t="shared" si="61"/>
        <v>75000</v>
      </c>
      <c r="L97" s="501"/>
      <c r="M97" s="501"/>
      <c r="N97" s="501"/>
      <c r="O97" s="500"/>
    </row>
    <row r="98" spans="1:15" x14ac:dyDescent="0.25">
      <c r="A98" s="22">
        <v>4</v>
      </c>
      <c r="B98" s="26" t="s">
        <v>1366</v>
      </c>
      <c r="C98" s="23" t="s">
        <v>28</v>
      </c>
      <c r="D98" s="24">
        <v>6</v>
      </c>
      <c r="E98" s="23">
        <v>7</v>
      </c>
      <c r="F98" s="25">
        <v>3000</v>
      </c>
      <c r="G98" s="25">
        <f t="shared" si="58"/>
        <v>126000</v>
      </c>
      <c r="H98" s="268">
        <f t="shared" si="59"/>
        <v>213.61725213617251</v>
      </c>
      <c r="I98" s="642">
        <f t="shared" si="60"/>
        <v>3780</v>
      </c>
      <c r="J98" s="642">
        <f>550*D98</f>
        <v>3300</v>
      </c>
      <c r="K98" s="642">
        <f t="shared" si="61"/>
        <v>21000</v>
      </c>
      <c r="L98" s="501"/>
      <c r="M98" s="501"/>
      <c r="N98" s="501"/>
      <c r="O98" s="500"/>
    </row>
    <row r="99" spans="1:15" x14ac:dyDescent="0.25">
      <c r="A99" s="22">
        <v>5</v>
      </c>
      <c r="B99" s="26" t="s">
        <v>1338</v>
      </c>
      <c r="C99" s="23" t="s">
        <v>28</v>
      </c>
      <c r="D99" s="24">
        <v>1</v>
      </c>
      <c r="E99" s="23">
        <v>10</v>
      </c>
      <c r="F99" s="25">
        <v>8000</v>
      </c>
      <c r="G99" s="25">
        <f t="shared" si="58"/>
        <v>80000</v>
      </c>
      <c r="H99" s="268">
        <f t="shared" ref="H99" si="62">G99/589.84</f>
        <v>135.6300013563</v>
      </c>
      <c r="I99" s="642">
        <f t="shared" si="60"/>
        <v>2400</v>
      </c>
      <c r="J99" s="642">
        <f>1600*D99</f>
        <v>1600</v>
      </c>
      <c r="K99" s="642">
        <f t="shared" si="61"/>
        <v>80000</v>
      </c>
      <c r="L99" s="501"/>
      <c r="M99" s="501"/>
      <c r="N99" s="501"/>
      <c r="O99" s="500"/>
    </row>
    <row r="100" spans="1:15" ht="16.5" thickBot="1" x14ac:dyDescent="0.3">
      <c r="A100" s="22">
        <v>6</v>
      </c>
      <c r="B100" s="26" t="s">
        <v>1175</v>
      </c>
      <c r="C100" s="23" t="s">
        <v>28</v>
      </c>
      <c r="D100" s="24">
        <v>1</v>
      </c>
      <c r="E100" s="23">
        <v>10</v>
      </c>
      <c r="F100" s="25">
        <v>8000</v>
      </c>
      <c r="G100" s="25">
        <f t="shared" si="58"/>
        <v>80000</v>
      </c>
      <c r="H100" s="268">
        <f t="shared" ref="H100" si="63">G100/589.84</f>
        <v>135.6300013563</v>
      </c>
      <c r="I100" s="642">
        <f t="shared" si="60"/>
        <v>2400</v>
      </c>
      <c r="J100" s="642">
        <f>1600*D100</f>
        <v>1600</v>
      </c>
      <c r="K100" s="642">
        <f t="shared" si="61"/>
        <v>80000</v>
      </c>
      <c r="L100" s="501"/>
      <c r="M100" s="501"/>
      <c r="N100" s="501"/>
      <c r="O100" s="500"/>
    </row>
    <row r="101" spans="1:15" ht="18.75" thickBot="1" x14ac:dyDescent="0.3">
      <c r="A101" s="341"/>
      <c r="B101" s="342"/>
      <c r="C101" s="343"/>
      <c r="D101" s="343"/>
      <c r="E101" s="343"/>
      <c r="F101" s="344"/>
      <c r="G101" s="344">
        <f>SUM(G95:G100)</f>
        <v>541000</v>
      </c>
      <c r="H101" s="516">
        <f>SUM(H95:H100)</f>
        <v>917.19788417197879</v>
      </c>
      <c r="I101" s="263">
        <f>SUM(I95:I100)</f>
        <v>16230</v>
      </c>
      <c r="J101" s="263">
        <f>SUM(J95:J100)</f>
        <v>12350</v>
      </c>
      <c r="K101" s="12"/>
      <c r="L101" s="501"/>
      <c r="M101" s="501"/>
      <c r="N101" s="501"/>
      <c r="O101" s="500"/>
    </row>
    <row r="102" spans="1:15" ht="16.5" thickBot="1" x14ac:dyDescent="0.3">
      <c r="A102" s="22">
        <v>1</v>
      </c>
      <c r="B102" s="26" t="s">
        <v>1176</v>
      </c>
      <c r="C102" s="23" t="s">
        <v>28</v>
      </c>
      <c r="D102" s="24">
        <v>4</v>
      </c>
      <c r="E102" s="23">
        <v>10</v>
      </c>
      <c r="F102" s="25">
        <v>7500</v>
      </c>
      <c r="G102" s="25">
        <f t="shared" ref="G102:G107" si="64">D102*E102*F102</f>
        <v>300000</v>
      </c>
      <c r="H102" s="544">
        <f>G102/589.84</f>
        <v>508.612505086125</v>
      </c>
      <c r="I102" s="642">
        <f>G102*0.03</f>
        <v>9000</v>
      </c>
      <c r="J102" s="642">
        <f>1600*D102</f>
        <v>6400</v>
      </c>
      <c r="K102" s="642">
        <f>G102/D102</f>
        <v>75000</v>
      </c>
      <c r="L102" s="501"/>
      <c r="M102" s="501"/>
      <c r="N102" s="501"/>
      <c r="O102" s="500"/>
    </row>
    <row r="103" spans="1:15" x14ac:dyDescent="0.25">
      <c r="A103" s="22">
        <v>2</v>
      </c>
      <c r="B103" s="26" t="s">
        <v>1177</v>
      </c>
      <c r="C103" s="23" t="s">
        <v>28</v>
      </c>
      <c r="D103" s="24">
        <v>2</v>
      </c>
      <c r="E103" s="23">
        <v>10</v>
      </c>
      <c r="F103" s="25">
        <v>3000</v>
      </c>
      <c r="G103" s="25">
        <f t="shared" si="64"/>
        <v>60000</v>
      </c>
      <c r="H103" s="268">
        <f t="shared" ref="H103:H107" si="65">G103/589.84</f>
        <v>101.722501017225</v>
      </c>
      <c r="I103" s="642">
        <f t="shared" ref="I103:I107" si="66">G103*0.03</f>
        <v>1800</v>
      </c>
      <c r="J103" s="642">
        <f>1050*D103</f>
        <v>2100</v>
      </c>
      <c r="K103" s="642">
        <f t="shared" ref="K103:K107" si="67">G103/D103</f>
        <v>30000</v>
      </c>
      <c r="L103" s="501"/>
      <c r="M103" s="501"/>
      <c r="N103" s="501"/>
      <c r="O103" s="500"/>
    </row>
    <row r="104" spans="1:15" x14ac:dyDescent="0.25">
      <c r="A104" s="22">
        <v>3</v>
      </c>
      <c r="B104" s="26" t="s">
        <v>1178</v>
      </c>
      <c r="C104" s="23" t="s">
        <v>28</v>
      </c>
      <c r="D104" s="24">
        <v>1</v>
      </c>
      <c r="E104" s="23">
        <v>10</v>
      </c>
      <c r="F104" s="25">
        <v>7500</v>
      </c>
      <c r="G104" s="25">
        <f t="shared" si="64"/>
        <v>75000</v>
      </c>
      <c r="H104" s="268">
        <f t="shared" si="65"/>
        <v>127.15312627153125</v>
      </c>
      <c r="I104" s="642">
        <f t="shared" si="66"/>
        <v>2250</v>
      </c>
      <c r="J104" s="642">
        <f>1600*D104</f>
        <v>1600</v>
      </c>
      <c r="K104" s="642">
        <f t="shared" si="67"/>
        <v>75000</v>
      </c>
      <c r="L104" s="501"/>
      <c r="M104" s="501"/>
      <c r="N104" s="501"/>
      <c r="O104" s="500"/>
    </row>
    <row r="105" spans="1:15" x14ac:dyDescent="0.25">
      <c r="A105" s="22">
        <v>4</v>
      </c>
      <c r="B105" s="26" t="s">
        <v>1366</v>
      </c>
      <c r="C105" s="23" t="s">
        <v>28</v>
      </c>
      <c r="D105" s="24">
        <v>9</v>
      </c>
      <c r="E105" s="23">
        <v>7</v>
      </c>
      <c r="F105" s="25">
        <v>3000</v>
      </c>
      <c r="G105" s="25">
        <f t="shared" si="64"/>
        <v>189000</v>
      </c>
      <c r="H105" s="268">
        <f t="shared" si="65"/>
        <v>320.42587820425877</v>
      </c>
      <c r="I105" s="642">
        <f t="shared" si="66"/>
        <v>5670</v>
      </c>
      <c r="J105" s="642">
        <f>550*D105</f>
        <v>4950</v>
      </c>
      <c r="K105" s="642">
        <f t="shared" si="67"/>
        <v>21000</v>
      </c>
      <c r="L105" s="501"/>
      <c r="M105" s="501"/>
      <c r="N105" s="501"/>
      <c r="O105" s="500"/>
    </row>
    <row r="106" spans="1:15" x14ac:dyDescent="0.25">
      <c r="A106" s="22">
        <v>5</v>
      </c>
      <c r="B106" s="26" t="s">
        <v>1338</v>
      </c>
      <c r="C106" s="23" t="s">
        <v>28</v>
      </c>
      <c r="D106" s="24">
        <v>1</v>
      </c>
      <c r="E106" s="23">
        <v>10</v>
      </c>
      <c r="F106" s="25">
        <v>8000</v>
      </c>
      <c r="G106" s="25">
        <f t="shared" si="64"/>
        <v>80000</v>
      </c>
      <c r="H106" s="268">
        <f t="shared" ref="H106" si="68">G106/589.84</f>
        <v>135.6300013563</v>
      </c>
      <c r="I106" s="642">
        <f t="shared" si="66"/>
        <v>2400</v>
      </c>
      <c r="J106" s="642">
        <f>1600*D106</f>
        <v>1600</v>
      </c>
      <c r="K106" s="642">
        <f t="shared" si="67"/>
        <v>80000</v>
      </c>
      <c r="L106" s="501"/>
      <c r="M106" s="501"/>
      <c r="N106" s="501"/>
      <c r="O106" s="500"/>
    </row>
    <row r="107" spans="1:15" ht="16.5" thickBot="1" x14ac:dyDescent="0.3">
      <c r="A107" s="22">
        <v>6</v>
      </c>
      <c r="B107" s="26" t="s">
        <v>1179</v>
      </c>
      <c r="C107" s="23" t="s">
        <v>28</v>
      </c>
      <c r="D107" s="24">
        <v>1</v>
      </c>
      <c r="E107" s="23">
        <v>10</v>
      </c>
      <c r="F107" s="25">
        <v>8000</v>
      </c>
      <c r="G107" s="25">
        <f t="shared" si="64"/>
        <v>80000</v>
      </c>
      <c r="H107" s="268">
        <f t="shared" si="65"/>
        <v>135.6300013563</v>
      </c>
      <c r="I107" s="642">
        <f t="shared" si="66"/>
        <v>2400</v>
      </c>
      <c r="J107" s="642">
        <f>1600*D107</f>
        <v>1600</v>
      </c>
      <c r="K107" s="642">
        <f t="shared" si="67"/>
        <v>80000</v>
      </c>
      <c r="L107" s="501"/>
      <c r="M107" s="501"/>
      <c r="N107" s="501"/>
      <c r="O107" s="500"/>
    </row>
    <row r="108" spans="1:15" ht="18.75" thickBot="1" x14ac:dyDescent="0.3">
      <c r="A108" s="341"/>
      <c r="B108" s="342"/>
      <c r="C108" s="343"/>
      <c r="D108" s="343"/>
      <c r="E108" s="343"/>
      <c r="F108" s="344"/>
      <c r="G108" s="344">
        <f>SUM(G102:G107)</f>
        <v>784000</v>
      </c>
      <c r="H108" s="516">
        <f>SUM(H102:H107)</f>
        <v>1329.17401329174</v>
      </c>
      <c r="I108" s="263">
        <f>SUM(I102:I107)</f>
        <v>23520</v>
      </c>
      <c r="J108" s="263">
        <f>SUM(J102:J107)</f>
        <v>18250</v>
      </c>
      <c r="K108" s="12"/>
      <c r="L108" s="501"/>
      <c r="M108" s="501"/>
      <c r="N108" s="501"/>
      <c r="O108" s="500"/>
    </row>
    <row r="109" spans="1:15" ht="16.5" thickBot="1" x14ac:dyDescent="0.3">
      <c r="A109" s="188">
        <v>1</v>
      </c>
      <c r="B109" s="189" t="s">
        <v>1180</v>
      </c>
      <c r="C109" s="225" t="s">
        <v>28</v>
      </c>
      <c r="D109" s="23">
        <v>8</v>
      </c>
      <c r="E109" s="23">
        <v>10</v>
      </c>
      <c r="F109" s="227">
        <v>7500</v>
      </c>
      <c r="G109" s="227">
        <f t="shared" ref="G109:G114" si="69">D109*E109*F109</f>
        <v>600000</v>
      </c>
      <c r="H109" s="544">
        <f>G109/589.84</f>
        <v>1017.22501017225</v>
      </c>
      <c r="I109" s="642">
        <f>G109*0.03</f>
        <v>18000</v>
      </c>
      <c r="J109" s="642">
        <f>1600*D109</f>
        <v>12800</v>
      </c>
      <c r="K109" s="642">
        <f>G109/D109</f>
        <v>75000</v>
      </c>
      <c r="L109" s="501"/>
      <c r="M109" s="501"/>
      <c r="N109" s="501"/>
      <c r="O109" s="500"/>
    </row>
    <row r="110" spans="1:15" x14ac:dyDescent="0.25">
      <c r="A110" s="188">
        <v>2</v>
      </c>
      <c r="B110" s="189" t="s">
        <v>1181</v>
      </c>
      <c r="C110" s="225" t="s">
        <v>28</v>
      </c>
      <c r="D110" s="23">
        <v>4</v>
      </c>
      <c r="E110" s="23">
        <v>10</v>
      </c>
      <c r="F110" s="227">
        <v>3000</v>
      </c>
      <c r="G110" s="227">
        <f t="shared" si="69"/>
        <v>120000</v>
      </c>
      <c r="H110" s="268">
        <f t="shared" ref="H110:H114" si="70">G110/589.84</f>
        <v>203.44500203445</v>
      </c>
      <c r="I110" s="642">
        <f t="shared" ref="I110:I114" si="71">G110*0.03</f>
        <v>3600</v>
      </c>
      <c r="J110" s="642">
        <f>1050*D110</f>
        <v>4200</v>
      </c>
      <c r="K110" s="642">
        <f t="shared" ref="K110:K114" si="72">G110/D110</f>
        <v>30000</v>
      </c>
      <c r="L110" s="501"/>
      <c r="M110" s="501"/>
      <c r="N110" s="501"/>
      <c r="O110" s="500"/>
    </row>
    <row r="111" spans="1:15" x14ac:dyDescent="0.25">
      <c r="A111" s="188">
        <v>3</v>
      </c>
      <c r="B111" s="189" t="s">
        <v>1182</v>
      </c>
      <c r="C111" s="225" t="s">
        <v>28</v>
      </c>
      <c r="D111" s="23">
        <v>1</v>
      </c>
      <c r="E111" s="23">
        <v>10</v>
      </c>
      <c r="F111" s="227">
        <v>7500</v>
      </c>
      <c r="G111" s="227">
        <f t="shared" si="69"/>
        <v>75000</v>
      </c>
      <c r="H111" s="268">
        <f t="shared" si="70"/>
        <v>127.15312627153125</v>
      </c>
      <c r="I111" s="642">
        <f t="shared" si="71"/>
        <v>2250</v>
      </c>
      <c r="J111" s="642">
        <f>1600*D111</f>
        <v>1600</v>
      </c>
      <c r="K111" s="642">
        <f t="shared" si="72"/>
        <v>75000</v>
      </c>
      <c r="L111" s="501"/>
      <c r="M111" s="501"/>
      <c r="N111" s="501"/>
      <c r="O111" s="500"/>
    </row>
    <row r="112" spans="1:15" x14ac:dyDescent="0.25">
      <c r="A112" s="188">
        <v>4</v>
      </c>
      <c r="B112" s="189" t="s">
        <v>1366</v>
      </c>
      <c r="C112" s="225" t="s">
        <v>28</v>
      </c>
      <c r="D112" s="23">
        <v>19</v>
      </c>
      <c r="E112" s="23">
        <v>10</v>
      </c>
      <c r="F112" s="227">
        <v>3000</v>
      </c>
      <c r="G112" s="227">
        <f t="shared" si="69"/>
        <v>570000</v>
      </c>
      <c r="H112" s="268">
        <f t="shared" si="70"/>
        <v>966.36375966363755</v>
      </c>
      <c r="I112" s="642">
        <f t="shared" si="71"/>
        <v>17100</v>
      </c>
      <c r="J112" s="642">
        <f>550*D112</f>
        <v>10450</v>
      </c>
      <c r="K112" s="642">
        <f t="shared" si="72"/>
        <v>30000</v>
      </c>
      <c r="L112" s="501"/>
      <c r="M112" s="501"/>
      <c r="N112" s="501"/>
      <c r="O112" s="500"/>
    </row>
    <row r="113" spans="1:15" x14ac:dyDescent="0.25">
      <c r="A113" s="188">
        <v>5</v>
      </c>
      <c r="B113" s="26" t="s">
        <v>1338</v>
      </c>
      <c r="C113" s="225" t="s">
        <v>28</v>
      </c>
      <c r="D113" s="23">
        <v>1</v>
      </c>
      <c r="E113" s="23">
        <v>10</v>
      </c>
      <c r="F113" s="25">
        <v>8000</v>
      </c>
      <c r="G113" s="227">
        <f t="shared" si="69"/>
        <v>80000</v>
      </c>
      <c r="H113" s="268">
        <f t="shared" ref="H113" si="73">G113/589.84</f>
        <v>135.6300013563</v>
      </c>
      <c r="I113" s="642">
        <f t="shared" si="71"/>
        <v>2400</v>
      </c>
      <c r="J113" s="642">
        <f>1600*D113</f>
        <v>1600</v>
      </c>
      <c r="K113" s="642">
        <f t="shared" si="72"/>
        <v>80000</v>
      </c>
      <c r="L113" s="501"/>
      <c r="M113" s="501"/>
      <c r="N113" s="501"/>
      <c r="O113" s="500"/>
    </row>
    <row r="114" spans="1:15" ht="16.5" thickBot="1" x14ac:dyDescent="0.3">
      <c r="A114" s="188">
        <v>6</v>
      </c>
      <c r="B114" s="189" t="s">
        <v>1183</v>
      </c>
      <c r="C114" s="225" t="s">
        <v>28</v>
      </c>
      <c r="D114" s="23">
        <v>1</v>
      </c>
      <c r="E114" s="23">
        <v>10</v>
      </c>
      <c r="F114" s="227">
        <v>8000</v>
      </c>
      <c r="G114" s="227">
        <f t="shared" si="69"/>
        <v>80000</v>
      </c>
      <c r="H114" s="268">
        <f t="shared" si="70"/>
        <v>135.6300013563</v>
      </c>
      <c r="I114" s="642">
        <f t="shared" si="71"/>
        <v>2400</v>
      </c>
      <c r="J114" s="642">
        <f>1600*D114</f>
        <v>1600</v>
      </c>
      <c r="K114" s="642">
        <f t="shared" si="72"/>
        <v>80000</v>
      </c>
      <c r="L114" s="501"/>
      <c r="M114" s="501"/>
      <c r="N114" s="501"/>
      <c r="O114" s="500"/>
    </row>
    <row r="115" spans="1:15" ht="18.75" thickBot="1" x14ac:dyDescent="0.3">
      <c r="A115" s="341"/>
      <c r="B115" s="342"/>
      <c r="C115" s="343"/>
      <c r="D115" s="343"/>
      <c r="E115" s="343"/>
      <c r="F115" s="344"/>
      <c r="G115" s="344">
        <f>SUM(G109:G114)</f>
        <v>1525000</v>
      </c>
      <c r="H115" s="516">
        <f>SUM(H109:H114)</f>
        <v>2585.4469008544688</v>
      </c>
      <c r="I115" s="263">
        <f>SUM(I109:I114)</f>
        <v>45750</v>
      </c>
      <c r="J115" s="263">
        <f>SUM(J109:J114)</f>
        <v>32250</v>
      </c>
      <c r="K115" s="12"/>
      <c r="L115" s="501"/>
      <c r="M115" s="501"/>
      <c r="N115" s="501"/>
      <c r="O115" s="500"/>
    </row>
    <row r="116" spans="1:15" ht="16.5" thickBot="1" x14ac:dyDescent="0.3">
      <c r="A116" s="22">
        <v>1</v>
      </c>
      <c r="B116" s="26" t="s">
        <v>1184</v>
      </c>
      <c r="C116" s="23" t="s">
        <v>28</v>
      </c>
      <c r="D116" s="23">
        <v>16</v>
      </c>
      <c r="E116" s="23">
        <v>10</v>
      </c>
      <c r="F116" s="25">
        <v>7500</v>
      </c>
      <c r="G116" s="25">
        <f t="shared" ref="G116:G121" si="74">D116*E116*F116</f>
        <v>1200000</v>
      </c>
      <c r="H116" s="544">
        <f>G116/589.84</f>
        <v>2034.4500203445</v>
      </c>
      <c r="I116" s="642">
        <f>G116*0.03</f>
        <v>36000</v>
      </c>
      <c r="J116" s="642">
        <f>1600*D116</f>
        <v>25600</v>
      </c>
      <c r="K116" s="642">
        <f>G116/D116</f>
        <v>75000</v>
      </c>
      <c r="L116" s="501"/>
      <c r="M116" s="501"/>
      <c r="N116" s="501"/>
      <c r="O116" s="500"/>
    </row>
    <row r="117" spans="1:15" x14ac:dyDescent="0.25">
      <c r="A117" s="22">
        <v>2</v>
      </c>
      <c r="B117" s="26" t="s">
        <v>1185</v>
      </c>
      <c r="C117" s="23" t="s">
        <v>28</v>
      </c>
      <c r="D117" s="23">
        <v>8</v>
      </c>
      <c r="E117" s="23">
        <v>10</v>
      </c>
      <c r="F117" s="25">
        <v>3000</v>
      </c>
      <c r="G117" s="25">
        <f t="shared" si="74"/>
        <v>240000</v>
      </c>
      <c r="H117" s="268">
        <f t="shared" ref="H117:H121" si="75">G117/589.84</f>
        <v>406.8900040689</v>
      </c>
      <c r="I117" s="642">
        <f t="shared" ref="I117:I121" si="76">G117*0.03</f>
        <v>7200</v>
      </c>
      <c r="J117" s="642">
        <f>1050*D117</f>
        <v>8400</v>
      </c>
      <c r="K117" s="642">
        <f t="shared" ref="K117:K121" si="77">G117/D117</f>
        <v>30000</v>
      </c>
      <c r="L117" s="501"/>
      <c r="M117" s="501"/>
      <c r="N117" s="501"/>
      <c r="O117" s="500"/>
    </row>
    <row r="118" spans="1:15" ht="28.5" x14ac:dyDescent="0.25">
      <c r="A118" s="22">
        <v>3</v>
      </c>
      <c r="B118" s="26" t="s">
        <v>1186</v>
      </c>
      <c r="C118" s="23" t="s">
        <v>28</v>
      </c>
      <c r="D118" s="24">
        <v>1</v>
      </c>
      <c r="E118" s="23">
        <v>10</v>
      </c>
      <c r="F118" s="25">
        <v>7500</v>
      </c>
      <c r="G118" s="25">
        <f t="shared" si="74"/>
        <v>75000</v>
      </c>
      <c r="H118" s="268">
        <f t="shared" si="75"/>
        <v>127.15312627153125</v>
      </c>
      <c r="I118" s="642">
        <f t="shared" si="76"/>
        <v>2250</v>
      </c>
      <c r="J118" s="642">
        <f>1600*D118</f>
        <v>1600</v>
      </c>
      <c r="K118" s="642">
        <f t="shared" si="77"/>
        <v>75000</v>
      </c>
      <c r="L118" s="501"/>
      <c r="M118" s="501"/>
      <c r="N118" s="501"/>
      <c r="O118" s="500"/>
    </row>
    <row r="119" spans="1:15" x14ac:dyDescent="0.25">
      <c r="A119" s="22">
        <v>4</v>
      </c>
      <c r="B119" s="26" t="s">
        <v>1366</v>
      </c>
      <c r="C119" s="23" t="s">
        <v>28</v>
      </c>
      <c r="D119" s="24">
        <v>45</v>
      </c>
      <c r="E119" s="23">
        <v>7</v>
      </c>
      <c r="F119" s="25">
        <v>3000</v>
      </c>
      <c r="G119" s="25">
        <f t="shared" si="74"/>
        <v>945000</v>
      </c>
      <c r="H119" s="268">
        <f t="shared" si="75"/>
        <v>1602.1293910212937</v>
      </c>
      <c r="I119" s="642">
        <f t="shared" si="76"/>
        <v>28350</v>
      </c>
      <c r="J119" s="642">
        <f>550*D119</f>
        <v>24750</v>
      </c>
      <c r="K119" s="642">
        <f t="shared" si="77"/>
        <v>21000</v>
      </c>
      <c r="L119" s="501"/>
      <c r="M119" s="501"/>
      <c r="N119" s="501"/>
      <c r="O119" s="500"/>
    </row>
    <row r="120" spans="1:15" x14ac:dyDescent="0.25">
      <c r="A120" s="22">
        <v>5</v>
      </c>
      <c r="B120" s="26" t="s">
        <v>1338</v>
      </c>
      <c r="C120" s="23" t="s">
        <v>28</v>
      </c>
      <c r="D120" s="24">
        <v>1</v>
      </c>
      <c r="E120" s="23">
        <v>10</v>
      </c>
      <c r="F120" s="25">
        <v>8000</v>
      </c>
      <c r="G120" s="25">
        <f t="shared" si="74"/>
        <v>80000</v>
      </c>
      <c r="H120" s="268">
        <f t="shared" ref="H120" si="78">G120/589.84</f>
        <v>135.6300013563</v>
      </c>
      <c r="I120" s="642">
        <f t="shared" si="76"/>
        <v>2400</v>
      </c>
      <c r="J120" s="642">
        <f>1600*D120</f>
        <v>1600</v>
      </c>
      <c r="K120" s="642">
        <f t="shared" si="77"/>
        <v>80000</v>
      </c>
      <c r="L120" s="501"/>
      <c r="M120" s="501"/>
      <c r="N120" s="501"/>
      <c r="O120" s="500"/>
    </row>
    <row r="121" spans="1:15" ht="16.5" thickBot="1" x14ac:dyDescent="0.3">
      <c r="A121" s="22">
        <v>6</v>
      </c>
      <c r="B121" s="26" t="s">
        <v>1187</v>
      </c>
      <c r="C121" s="23" t="s">
        <v>28</v>
      </c>
      <c r="D121" s="24">
        <v>2</v>
      </c>
      <c r="E121" s="23">
        <v>10</v>
      </c>
      <c r="F121" s="25">
        <v>8000</v>
      </c>
      <c r="G121" s="25">
        <f t="shared" si="74"/>
        <v>160000</v>
      </c>
      <c r="H121" s="268">
        <f t="shared" si="75"/>
        <v>271.2600027126</v>
      </c>
      <c r="I121" s="642">
        <f t="shared" si="76"/>
        <v>4800</v>
      </c>
      <c r="J121" s="642">
        <f>1600*D121</f>
        <v>3200</v>
      </c>
      <c r="K121" s="642">
        <f t="shared" si="77"/>
        <v>80000</v>
      </c>
      <c r="L121" s="501"/>
      <c r="M121" s="501"/>
      <c r="N121" s="501"/>
      <c r="O121" s="500"/>
    </row>
    <row r="122" spans="1:15" ht="18.75" thickBot="1" x14ac:dyDescent="0.3">
      <c r="A122" s="341"/>
      <c r="B122" s="342" t="s">
        <v>1399</v>
      </c>
      <c r="C122" s="343"/>
      <c r="D122" s="343"/>
      <c r="E122" s="343"/>
      <c r="F122" s="344"/>
      <c r="G122" s="344">
        <f>SUM(G116:G121)</f>
        <v>2700000</v>
      </c>
      <c r="H122" s="516">
        <f>SUM(H116:H121)</f>
        <v>4577.5125457751246</v>
      </c>
      <c r="I122" s="263">
        <f>SUM(I116:I121)</f>
        <v>81000</v>
      </c>
      <c r="J122" s="263">
        <f>SUM(J116:J121)</f>
        <v>65150</v>
      </c>
      <c r="K122" s="12"/>
      <c r="L122" s="501"/>
      <c r="M122" s="501"/>
      <c r="N122" s="501"/>
      <c r="O122" s="500"/>
    </row>
    <row r="123" spans="1:15" ht="16.5" thickBot="1" x14ac:dyDescent="0.3">
      <c r="A123" s="188">
        <v>1</v>
      </c>
      <c r="B123" s="189" t="s">
        <v>1188</v>
      </c>
      <c r="C123" s="225" t="s">
        <v>28</v>
      </c>
      <c r="D123" s="23">
        <v>8</v>
      </c>
      <c r="E123" s="23">
        <v>10</v>
      </c>
      <c r="F123" s="227">
        <v>7500</v>
      </c>
      <c r="G123" s="227">
        <f t="shared" ref="G123:G128" si="79">D123*E123*F123</f>
        <v>600000</v>
      </c>
      <c r="H123" s="544">
        <f>G123/589.84</f>
        <v>1017.22501017225</v>
      </c>
      <c r="I123" s="642">
        <f>G123*0.03</f>
        <v>18000</v>
      </c>
      <c r="J123" s="642">
        <f>1600*D123</f>
        <v>12800</v>
      </c>
      <c r="K123" s="642">
        <f>G123/D123</f>
        <v>75000</v>
      </c>
      <c r="L123" s="501"/>
      <c r="M123" s="501"/>
      <c r="N123" s="501"/>
      <c r="O123" s="500"/>
    </row>
    <row r="124" spans="1:15" x14ac:dyDescent="0.25">
      <c r="A124" s="188">
        <v>2</v>
      </c>
      <c r="B124" s="189" t="s">
        <v>1189</v>
      </c>
      <c r="C124" s="225" t="s">
        <v>28</v>
      </c>
      <c r="D124" s="23">
        <v>4</v>
      </c>
      <c r="E124" s="23">
        <v>10</v>
      </c>
      <c r="F124" s="227">
        <v>3000</v>
      </c>
      <c r="G124" s="227">
        <f t="shared" si="79"/>
        <v>120000</v>
      </c>
      <c r="H124" s="268">
        <f t="shared" ref="H124:H128" si="80">G124/589.84</f>
        <v>203.44500203445</v>
      </c>
      <c r="I124" s="642">
        <f t="shared" ref="I124:I128" si="81">G124*0.03</f>
        <v>3600</v>
      </c>
      <c r="J124" s="642">
        <f>1050*D124</f>
        <v>4200</v>
      </c>
      <c r="K124" s="642">
        <f t="shared" ref="K124:K128" si="82">G124/D124</f>
        <v>30000</v>
      </c>
      <c r="L124" s="501"/>
      <c r="M124" s="501"/>
      <c r="N124" s="501"/>
      <c r="O124" s="500"/>
    </row>
    <row r="125" spans="1:15" x14ac:dyDescent="0.25">
      <c r="A125" s="188">
        <v>3</v>
      </c>
      <c r="B125" s="189" t="s">
        <v>1190</v>
      </c>
      <c r="C125" s="225" t="s">
        <v>28</v>
      </c>
      <c r="D125" s="23">
        <v>1</v>
      </c>
      <c r="E125" s="23">
        <v>10</v>
      </c>
      <c r="F125" s="227">
        <v>7500</v>
      </c>
      <c r="G125" s="227">
        <f t="shared" si="79"/>
        <v>75000</v>
      </c>
      <c r="H125" s="268">
        <f t="shared" si="80"/>
        <v>127.15312627153125</v>
      </c>
      <c r="I125" s="642">
        <f t="shared" si="81"/>
        <v>2250</v>
      </c>
      <c r="J125" s="642">
        <f>1600*D125</f>
        <v>1600</v>
      </c>
      <c r="K125" s="642">
        <f t="shared" si="82"/>
        <v>75000</v>
      </c>
      <c r="L125" s="501"/>
      <c r="M125" s="501"/>
      <c r="N125" s="501"/>
      <c r="O125" s="500"/>
    </row>
    <row r="126" spans="1:15" x14ac:dyDescent="0.25">
      <c r="A126" s="188">
        <v>4</v>
      </c>
      <c r="B126" s="189" t="s">
        <v>1366</v>
      </c>
      <c r="C126" s="225" t="s">
        <v>28</v>
      </c>
      <c r="D126" s="23">
        <v>34</v>
      </c>
      <c r="E126" s="23">
        <v>7</v>
      </c>
      <c r="F126" s="227">
        <v>3000</v>
      </c>
      <c r="G126" s="227">
        <f t="shared" si="79"/>
        <v>714000</v>
      </c>
      <c r="H126" s="268">
        <f t="shared" si="80"/>
        <v>1210.4977621049775</v>
      </c>
      <c r="I126" s="642">
        <f t="shared" si="81"/>
        <v>21420</v>
      </c>
      <c r="J126" s="642">
        <f>550*D126</f>
        <v>18700</v>
      </c>
      <c r="K126" s="642">
        <f t="shared" si="82"/>
        <v>21000</v>
      </c>
      <c r="L126" s="501"/>
      <c r="M126" s="501"/>
      <c r="N126" s="501"/>
      <c r="O126" s="500"/>
    </row>
    <row r="127" spans="1:15" x14ac:dyDescent="0.25">
      <c r="A127" s="188">
        <v>5</v>
      </c>
      <c r="B127" s="26" t="s">
        <v>1338</v>
      </c>
      <c r="C127" s="225" t="s">
        <v>28</v>
      </c>
      <c r="D127" s="23">
        <v>1</v>
      </c>
      <c r="E127" s="23">
        <v>10</v>
      </c>
      <c r="F127" s="25">
        <v>8000</v>
      </c>
      <c r="G127" s="227">
        <f t="shared" si="79"/>
        <v>80000</v>
      </c>
      <c r="H127" s="268">
        <f t="shared" ref="H127" si="83">G127/589.84</f>
        <v>135.6300013563</v>
      </c>
      <c r="I127" s="642">
        <f t="shared" si="81"/>
        <v>2400</v>
      </c>
      <c r="J127" s="642">
        <f>1600*D127</f>
        <v>1600</v>
      </c>
      <c r="K127" s="642">
        <f t="shared" si="82"/>
        <v>80000</v>
      </c>
      <c r="L127" s="501"/>
      <c r="M127" s="501"/>
      <c r="N127" s="501"/>
      <c r="O127" s="500"/>
    </row>
    <row r="128" spans="1:15" ht="16.5" thickBot="1" x14ac:dyDescent="0.3">
      <c r="A128" s="188">
        <v>6</v>
      </c>
      <c r="B128" s="189" t="s">
        <v>1191</v>
      </c>
      <c r="C128" s="225" t="s">
        <v>28</v>
      </c>
      <c r="D128" s="23">
        <v>1</v>
      </c>
      <c r="E128" s="23">
        <v>10</v>
      </c>
      <c r="F128" s="227">
        <v>8000</v>
      </c>
      <c r="G128" s="227">
        <f t="shared" si="79"/>
        <v>80000</v>
      </c>
      <c r="H128" s="268">
        <f t="shared" si="80"/>
        <v>135.6300013563</v>
      </c>
      <c r="I128" s="642">
        <f t="shared" si="81"/>
        <v>2400</v>
      </c>
      <c r="J128" s="642">
        <f>1600*D128</f>
        <v>1600</v>
      </c>
      <c r="K128" s="642">
        <f t="shared" si="82"/>
        <v>80000</v>
      </c>
      <c r="L128" s="501"/>
      <c r="M128" s="501"/>
      <c r="N128" s="501"/>
      <c r="O128" s="500"/>
    </row>
    <row r="129" spans="1:15" ht="18.75" thickBot="1" x14ac:dyDescent="0.3">
      <c r="A129" s="341"/>
      <c r="B129" s="342" t="s">
        <v>1399</v>
      </c>
      <c r="C129" s="343"/>
      <c r="D129" s="343"/>
      <c r="E129" s="343"/>
      <c r="F129" s="344"/>
      <c r="G129" s="344">
        <f>SUM(G123:G128)</f>
        <v>1669000</v>
      </c>
      <c r="H129" s="516">
        <f>SUM(H123:H128)</f>
        <v>2829.5809032958086</v>
      </c>
      <c r="I129" s="263">
        <f>SUM(I123:I128)</f>
        <v>50070</v>
      </c>
      <c r="J129" s="263">
        <f>SUM(J123:J128)</f>
        <v>40500</v>
      </c>
      <c r="K129" s="12"/>
      <c r="L129" s="501"/>
      <c r="M129" s="501"/>
      <c r="N129" s="501"/>
      <c r="O129" s="500"/>
    </row>
    <row r="130" spans="1:15" ht="16.5" thickBot="1" x14ac:dyDescent="0.3">
      <c r="A130" s="22">
        <v>1</v>
      </c>
      <c r="B130" s="26" t="s">
        <v>1192</v>
      </c>
      <c r="C130" s="23" t="s">
        <v>28</v>
      </c>
      <c r="D130" s="24">
        <v>4</v>
      </c>
      <c r="E130" s="23">
        <v>10</v>
      </c>
      <c r="F130" s="25">
        <v>7500</v>
      </c>
      <c r="G130" s="25">
        <f t="shared" ref="G130:G135" si="84">D130*E130*F130</f>
        <v>300000</v>
      </c>
      <c r="H130" s="544">
        <f>G130/589.84</f>
        <v>508.612505086125</v>
      </c>
      <c r="I130" s="642">
        <f>G130*0.03</f>
        <v>9000</v>
      </c>
      <c r="J130" s="642">
        <f>1600*D130</f>
        <v>6400</v>
      </c>
      <c r="K130" s="642">
        <f>G130/D130</f>
        <v>75000</v>
      </c>
      <c r="L130" s="501"/>
      <c r="M130" s="501"/>
      <c r="N130" s="501"/>
      <c r="O130" s="500"/>
    </row>
    <row r="131" spans="1:15" x14ac:dyDescent="0.25">
      <c r="A131" s="22">
        <v>2</v>
      </c>
      <c r="B131" s="26" t="s">
        <v>1193</v>
      </c>
      <c r="C131" s="23" t="s">
        <v>28</v>
      </c>
      <c r="D131" s="24">
        <v>2</v>
      </c>
      <c r="E131" s="23">
        <v>10</v>
      </c>
      <c r="F131" s="25">
        <v>3000</v>
      </c>
      <c r="G131" s="25">
        <f t="shared" si="84"/>
        <v>60000</v>
      </c>
      <c r="H131" s="268">
        <f t="shared" ref="H131:H135" si="85">G131/589.84</f>
        <v>101.722501017225</v>
      </c>
      <c r="I131" s="642">
        <f t="shared" ref="I131:I135" si="86">G131*0.03</f>
        <v>1800</v>
      </c>
      <c r="J131" s="642">
        <f>1050*D131</f>
        <v>2100</v>
      </c>
      <c r="K131" s="642">
        <f t="shared" ref="K131:K135" si="87">G131/D131</f>
        <v>30000</v>
      </c>
      <c r="L131" s="501"/>
      <c r="M131" s="501"/>
      <c r="N131" s="501"/>
      <c r="O131" s="500"/>
    </row>
    <row r="132" spans="1:15" x14ac:dyDescent="0.25">
      <c r="A132" s="22">
        <v>3</v>
      </c>
      <c r="B132" s="26" t="s">
        <v>1194</v>
      </c>
      <c r="C132" s="23" t="s">
        <v>28</v>
      </c>
      <c r="D132" s="24">
        <v>1</v>
      </c>
      <c r="E132" s="23">
        <v>10</v>
      </c>
      <c r="F132" s="25">
        <v>7500</v>
      </c>
      <c r="G132" s="25">
        <f t="shared" si="84"/>
        <v>75000</v>
      </c>
      <c r="H132" s="268">
        <f t="shared" si="85"/>
        <v>127.15312627153125</v>
      </c>
      <c r="I132" s="642">
        <f t="shared" si="86"/>
        <v>2250</v>
      </c>
      <c r="J132" s="642">
        <f>1600*D132</f>
        <v>1600</v>
      </c>
      <c r="K132" s="642">
        <f t="shared" si="87"/>
        <v>75000</v>
      </c>
      <c r="L132" s="501"/>
      <c r="M132" s="501"/>
      <c r="N132" s="501"/>
      <c r="O132" s="500"/>
    </row>
    <row r="133" spans="1:15" x14ac:dyDescent="0.25">
      <c r="A133" s="22">
        <v>4</v>
      </c>
      <c r="B133" s="26" t="s">
        <v>1366</v>
      </c>
      <c r="C133" s="23" t="s">
        <v>28</v>
      </c>
      <c r="D133" s="24">
        <v>18</v>
      </c>
      <c r="E133" s="23">
        <v>7</v>
      </c>
      <c r="F133" s="25">
        <v>3000</v>
      </c>
      <c r="G133" s="25">
        <f t="shared" si="84"/>
        <v>378000</v>
      </c>
      <c r="H133" s="268">
        <f t="shared" si="85"/>
        <v>640.85175640851753</v>
      </c>
      <c r="I133" s="642">
        <f t="shared" si="86"/>
        <v>11340</v>
      </c>
      <c r="J133" s="642">
        <f>550*D133</f>
        <v>9900</v>
      </c>
      <c r="K133" s="642">
        <f t="shared" si="87"/>
        <v>21000</v>
      </c>
      <c r="L133" s="501"/>
      <c r="M133" s="501"/>
      <c r="N133" s="501"/>
      <c r="O133" s="500"/>
    </row>
    <row r="134" spans="1:15" x14ac:dyDescent="0.25">
      <c r="A134" s="22">
        <v>5</v>
      </c>
      <c r="B134" s="26" t="s">
        <v>1338</v>
      </c>
      <c r="C134" s="23"/>
      <c r="D134" s="24">
        <v>1</v>
      </c>
      <c r="E134" s="23">
        <v>10</v>
      </c>
      <c r="F134" s="25">
        <v>8000</v>
      </c>
      <c r="G134" s="25">
        <f>D134*E134*F134</f>
        <v>80000</v>
      </c>
      <c r="H134" s="268">
        <f t="shared" ref="H134" si="88">G134/589.84</f>
        <v>135.6300013563</v>
      </c>
      <c r="I134" s="642">
        <f t="shared" si="86"/>
        <v>2400</v>
      </c>
      <c r="J134" s="642">
        <f>1600*D134</f>
        <v>1600</v>
      </c>
      <c r="K134" s="642">
        <f t="shared" si="87"/>
        <v>80000</v>
      </c>
      <c r="L134" s="501"/>
      <c r="M134" s="501"/>
      <c r="N134" s="501"/>
      <c r="O134" s="500"/>
    </row>
    <row r="135" spans="1:15" ht="16.5" thickBot="1" x14ac:dyDescent="0.3">
      <c r="A135" s="22">
        <v>6</v>
      </c>
      <c r="B135" s="26" t="s">
        <v>1195</v>
      </c>
      <c r="C135" s="23"/>
      <c r="D135" s="24">
        <v>1</v>
      </c>
      <c r="E135" s="23">
        <v>10</v>
      </c>
      <c r="F135" s="25">
        <v>8000</v>
      </c>
      <c r="G135" s="25">
        <f t="shared" si="84"/>
        <v>80000</v>
      </c>
      <c r="H135" s="268">
        <f t="shared" si="85"/>
        <v>135.6300013563</v>
      </c>
      <c r="I135" s="642">
        <f t="shared" si="86"/>
        <v>2400</v>
      </c>
      <c r="J135" s="642">
        <f>1600*D135</f>
        <v>1600</v>
      </c>
      <c r="K135" s="642">
        <f t="shared" si="87"/>
        <v>80000</v>
      </c>
      <c r="L135" s="501"/>
      <c r="M135" s="501"/>
      <c r="N135" s="501"/>
      <c r="O135" s="500"/>
    </row>
    <row r="136" spans="1:15" ht="18.75" thickBot="1" x14ac:dyDescent="0.3">
      <c r="A136" s="341"/>
      <c r="B136" s="342" t="s">
        <v>1399</v>
      </c>
      <c r="C136" s="343"/>
      <c r="D136" s="343"/>
      <c r="E136" s="343"/>
      <c r="F136" s="344"/>
      <c r="G136" s="344">
        <f>SUM(G130:G135)</f>
        <v>973000</v>
      </c>
      <c r="H136" s="516">
        <f>SUM(H130:H135)</f>
        <v>1649.5998914959987</v>
      </c>
      <c r="I136" s="263">
        <f>SUM(I130:I135)</f>
        <v>29190</v>
      </c>
      <c r="J136" s="263">
        <f>SUM(J130:J135)</f>
        <v>23200</v>
      </c>
      <c r="K136" s="12"/>
      <c r="L136" s="501"/>
      <c r="M136" s="501"/>
      <c r="N136" s="501"/>
      <c r="O136" s="500"/>
    </row>
    <row r="137" spans="1:15" ht="16.5" thickBot="1" x14ac:dyDescent="0.3">
      <c r="A137" s="22">
        <v>1</v>
      </c>
      <c r="B137" s="26" t="s">
        <v>1196</v>
      </c>
      <c r="C137" s="23" t="s">
        <v>28</v>
      </c>
      <c r="D137" s="23">
        <v>4</v>
      </c>
      <c r="E137" s="23">
        <v>10</v>
      </c>
      <c r="F137" s="25">
        <v>7500</v>
      </c>
      <c r="G137" s="25">
        <f t="shared" ref="G137:G142" si="89">D137*E137*F137</f>
        <v>300000</v>
      </c>
      <c r="H137" s="544">
        <f>G137/589.84</f>
        <v>508.612505086125</v>
      </c>
      <c r="I137" s="642">
        <f>G137*0.03</f>
        <v>9000</v>
      </c>
      <c r="J137" s="642">
        <f>1600*D137</f>
        <v>6400</v>
      </c>
      <c r="K137" s="642">
        <f>G137/D137</f>
        <v>75000</v>
      </c>
      <c r="L137" s="501"/>
      <c r="M137" s="501"/>
      <c r="N137" s="501"/>
      <c r="O137" s="500"/>
    </row>
    <row r="138" spans="1:15" x14ac:dyDescent="0.25">
      <c r="A138" s="22">
        <v>2</v>
      </c>
      <c r="B138" s="26" t="s">
        <v>1197</v>
      </c>
      <c r="C138" s="23" t="s">
        <v>28</v>
      </c>
      <c r="D138" s="23">
        <v>2</v>
      </c>
      <c r="E138" s="23">
        <v>10</v>
      </c>
      <c r="F138" s="25">
        <v>3000</v>
      </c>
      <c r="G138" s="25">
        <f t="shared" si="89"/>
        <v>60000</v>
      </c>
      <c r="H138" s="268">
        <f t="shared" ref="H138:H142" si="90">G138/589.84</f>
        <v>101.722501017225</v>
      </c>
      <c r="I138" s="642">
        <f t="shared" ref="I138:I142" si="91">G138*0.03</f>
        <v>1800</v>
      </c>
      <c r="J138" s="642">
        <f>1050*D138</f>
        <v>2100</v>
      </c>
      <c r="K138" s="642">
        <f t="shared" ref="K138:K142" si="92">G138/D138</f>
        <v>30000</v>
      </c>
      <c r="L138" s="501"/>
      <c r="M138" s="501"/>
      <c r="N138" s="501"/>
      <c r="O138" s="500"/>
    </row>
    <row r="139" spans="1:15" x14ac:dyDescent="0.25">
      <c r="A139" s="22">
        <v>3</v>
      </c>
      <c r="B139" s="26" t="s">
        <v>1198</v>
      </c>
      <c r="C139" s="23" t="s">
        <v>28</v>
      </c>
      <c r="D139" s="24">
        <v>1</v>
      </c>
      <c r="E139" s="23">
        <v>10</v>
      </c>
      <c r="F139" s="25">
        <v>7500</v>
      </c>
      <c r="G139" s="25">
        <f t="shared" si="89"/>
        <v>75000</v>
      </c>
      <c r="H139" s="268">
        <f t="shared" si="90"/>
        <v>127.15312627153125</v>
      </c>
      <c r="I139" s="642">
        <f t="shared" si="91"/>
        <v>2250</v>
      </c>
      <c r="J139" s="642">
        <f>1600*D139</f>
        <v>1600</v>
      </c>
      <c r="K139" s="642">
        <f t="shared" si="92"/>
        <v>75000</v>
      </c>
      <c r="L139" s="501"/>
      <c r="M139" s="501"/>
      <c r="N139" s="501"/>
      <c r="O139" s="500"/>
    </row>
    <row r="140" spans="1:15" x14ac:dyDescent="0.25">
      <c r="A140" s="22">
        <v>4</v>
      </c>
      <c r="B140" s="26" t="s">
        <v>1366</v>
      </c>
      <c r="C140" s="23" t="s">
        <v>28</v>
      </c>
      <c r="D140" s="24">
        <v>24</v>
      </c>
      <c r="E140" s="23">
        <v>7</v>
      </c>
      <c r="F140" s="25">
        <v>3000</v>
      </c>
      <c r="G140" s="25">
        <f t="shared" si="89"/>
        <v>504000</v>
      </c>
      <c r="H140" s="268">
        <f t="shared" ref="H140" si="93">G140/589.84</f>
        <v>854.46900854469004</v>
      </c>
      <c r="I140" s="642">
        <f t="shared" si="91"/>
        <v>15120</v>
      </c>
      <c r="J140" s="642">
        <f>550*D140</f>
        <v>13200</v>
      </c>
      <c r="K140" s="642">
        <f t="shared" si="92"/>
        <v>21000</v>
      </c>
      <c r="L140" s="501"/>
      <c r="M140" s="501"/>
      <c r="N140" s="501"/>
      <c r="O140" s="500"/>
    </row>
    <row r="141" spans="1:15" x14ac:dyDescent="0.25">
      <c r="A141" s="22">
        <v>5</v>
      </c>
      <c r="B141" s="26" t="s">
        <v>1338</v>
      </c>
      <c r="C141" s="23" t="s">
        <v>28</v>
      </c>
      <c r="D141" s="24">
        <v>1</v>
      </c>
      <c r="E141" s="23">
        <v>10</v>
      </c>
      <c r="F141" s="25">
        <v>8000</v>
      </c>
      <c r="G141" s="25">
        <f t="shared" si="89"/>
        <v>80000</v>
      </c>
      <c r="H141" s="268">
        <f t="shared" si="90"/>
        <v>135.6300013563</v>
      </c>
      <c r="I141" s="642">
        <f t="shared" si="91"/>
        <v>2400</v>
      </c>
      <c r="J141" s="642">
        <f>1600*D141</f>
        <v>1600</v>
      </c>
      <c r="K141" s="642">
        <f t="shared" si="92"/>
        <v>80000</v>
      </c>
      <c r="L141" s="501"/>
      <c r="M141" s="501"/>
      <c r="N141" s="501"/>
      <c r="O141" s="500"/>
    </row>
    <row r="142" spans="1:15" ht="16.5" thickBot="1" x14ac:dyDescent="0.3">
      <c r="A142" s="22">
        <v>6</v>
      </c>
      <c r="B142" s="26" t="s">
        <v>1199</v>
      </c>
      <c r="C142" s="23" t="s">
        <v>28</v>
      </c>
      <c r="D142" s="24">
        <v>1</v>
      </c>
      <c r="E142" s="23">
        <v>10</v>
      </c>
      <c r="F142" s="25">
        <v>8000</v>
      </c>
      <c r="G142" s="25">
        <f t="shared" si="89"/>
        <v>80000</v>
      </c>
      <c r="H142" s="268">
        <f t="shared" si="90"/>
        <v>135.6300013563</v>
      </c>
      <c r="I142" s="642">
        <f t="shared" si="91"/>
        <v>2400</v>
      </c>
      <c r="J142" s="642">
        <f>1600*D142</f>
        <v>1600</v>
      </c>
      <c r="K142" s="642">
        <f t="shared" si="92"/>
        <v>80000</v>
      </c>
      <c r="L142" s="501"/>
      <c r="M142" s="501"/>
      <c r="N142" s="501"/>
      <c r="O142" s="500"/>
    </row>
    <row r="143" spans="1:15" ht="18.75" thickBot="1" x14ac:dyDescent="0.3">
      <c r="A143" s="341"/>
      <c r="B143" s="342" t="s">
        <v>1399</v>
      </c>
      <c r="C143" s="343"/>
      <c r="D143" s="343"/>
      <c r="E143" s="343"/>
      <c r="F143" s="344"/>
      <c r="G143" s="344">
        <f>SUM(G137:G142)</f>
        <v>1099000</v>
      </c>
      <c r="H143" s="516">
        <f>SUM(H137:H142)</f>
        <v>1863.2171436321714</v>
      </c>
      <c r="I143" s="263">
        <f>SUM(I137:I142)</f>
        <v>32970</v>
      </c>
      <c r="J143" s="263">
        <f>SUM(J137:J142)</f>
        <v>26500</v>
      </c>
      <c r="K143" s="12"/>
      <c r="L143" s="501"/>
      <c r="M143" s="501"/>
      <c r="N143" s="501"/>
      <c r="O143" s="500"/>
    </row>
    <row r="144" spans="1:15" ht="18.75" thickBot="1" x14ac:dyDescent="0.3">
      <c r="A144" s="242"/>
      <c r="B144" s="243"/>
      <c r="C144" s="242"/>
      <c r="D144" s="242"/>
      <c r="E144" s="242"/>
      <c r="F144" s="244"/>
      <c r="G144" s="244"/>
      <c r="H144" s="506"/>
      <c r="I144" s="501"/>
      <c r="J144" s="501"/>
      <c r="K144" s="501"/>
      <c r="L144" s="501"/>
      <c r="M144" s="501"/>
      <c r="N144" s="501"/>
      <c r="O144" s="500"/>
    </row>
    <row r="145" spans="1:15" x14ac:dyDescent="0.25">
      <c r="A145" s="188">
        <v>1</v>
      </c>
      <c r="B145" s="189" t="s">
        <v>742</v>
      </c>
      <c r="C145" s="225" t="s">
        <v>28</v>
      </c>
      <c r="D145" s="226">
        <v>2</v>
      </c>
      <c r="E145" s="229">
        <v>12</v>
      </c>
      <c r="F145" s="227">
        <v>12500</v>
      </c>
      <c r="G145" s="227">
        <f t="shared" ref="G145:G153" si="94">D145*E145*F145</f>
        <v>300000</v>
      </c>
      <c r="H145" s="268">
        <f t="shared" ref="H145:H153" si="95">G145/589.84</f>
        <v>508.612505086125</v>
      </c>
      <c r="I145" s="642">
        <f>G145*0.03</f>
        <v>9000</v>
      </c>
      <c r="J145" s="642">
        <f>1900*D145</f>
        <v>3800</v>
      </c>
      <c r="K145" s="642">
        <f>G145/D145</f>
        <v>150000</v>
      </c>
      <c r="L145" s="501"/>
      <c r="M145" s="501"/>
      <c r="N145" s="501"/>
      <c r="O145" s="500"/>
    </row>
    <row r="146" spans="1:15" x14ac:dyDescent="0.25">
      <c r="A146" s="188">
        <v>2</v>
      </c>
      <c r="B146" s="189" t="s">
        <v>743</v>
      </c>
      <c r="C146" s="225" t="s">
        <v>28</v>
      </c>
      <c r="D146" s="226">
        <v>1</v>
      </c>
      <c r="E146" s="229">
        <v>10</v>
      </c>
      <c r="F146" s="25">
        <v>10000</v>
      </c>
      <c r="G146" s="227">
        <f t="shared" si="94"/>
        <v>100000</v>
      </c>
      <c r="H146" s="268">
        <f t="shared" si="95"/>
        <v>169.537501695375</v>
      </c>
      <c r="I146" s="642">
        <f t="shared" ref="I146:I150" si="96">G146*0.03</f>
        <v>3000</v>
      </c>
      <c r="J146" s="642">
        <f>1600*D146</f>
        <v>1600</v>
      </c>
      <c r="K146" s="642">
        <f t="shared" ref="K146:K150" si="97">G146/D146</f>
        <v>100000</v>
      </c>
      <c r="L146" s="501"/>
      <c r="M146" s="501"/>
      <c r="N146" s="501"/>
      <c r="O146" s="500"/>
    </row>
    <row r="147" spans="1:15" x14ac:dyDescent="0.25">
      <c r="A147" s="188">
        <v>3</v>
      </c>
      <c r="B147" s="189" t="s">
        <v>744</v>
      </c>
      <c r="C147" s="225" t="s">
        <v>28</v>
      </c>
      <c r="D147" s="226">
        <v>2</v>
      </c>
      <c r="E147" s="229">
        <v>13</v>
      </c>
      <c r="F147" s="25">
        <v>10000</v>
      </c>
      <c r="G147" s="227">
        <f t="shared" si="94"/>
        <v>260000</v>
      </c>
      <c r="H147" s="268">
        <f t="shared" si="95"/>
        <v>440.797504407975</v>
      </c>
      <c r="I147" s="642">
        <f t="shared" si="96"/>
        <v>7800</v>
      </c>
      <c r="J147" s="642">
        <f>1900*D147</f>
        <v>3800</v>
      </c>
      <c r="K147" s="642">
        <f t="shared" si="97"/>
        <v>130000</v>
      </c>
      <c r="L147" s="501"/>
      <c r="M147" s="501"/>
      <c r="N147" s="501"/>
      <c r="O147" s="500"/>
    </row>
    <row r="148" spans="1:15" x14ac:dyDescent="0.25">
      <c r="A148" s="188">
        <v>4</v>
      </c>
      <c r="B148" s="189" t="s">
        <v>745</v>
      </c>
      <c r="C148" s="225" t="s">
        <v>28</v>
      </c>
      <c r="D148" s="226">
        <v>1</v>
      </c>
      <c r="E148" s="229">
        <v>13</v>
      </c>
      <c r="F148" s="25">
        <v>10000</v>
      </c>
      <c r="G148" s="227">
        <f t="shared" si="94"/>
        <v>130000</v>
      </c>
      <c r="H148" s="268">
        <f t="shared" si="95"/>
        <v>220.3987522039875</v>
      </c>
      <c r="I148" s="642">
        <f t="shared" si="96"/>
        <v>3900</v>
      </c>
      <c r="J148" s="642">
        <f>1600*D148</f>
        <v>1600</v>
      </c>
      <c r="K148" s="642">
        <f t="shared" si="97"/>
        <v>130000</v>
      </c>
      <c r="L148" s="501"/>
      <c r="M148" s="501"/>
      <c r="N148" s="501"/>
      <c r="O148" s="500"/>
    </row>
    <row r="149" spans="1:15" x14ac:dyDescent="0.25">
      <c r="A149" s="188">
        <v>5</v>
      </c>
      <c r="B149" s="189" t="s">
        <v>746</v>
      </c>
      <c r="C149" s="225" t="s">
        <v>28</v>
      </c>
      <c r="D149" s="226">
        <v>1</v>
      </c>
      <c r="E149" s="229">
        <v>10</v>
      </c>
      <c r="F149" s="25">
        <v>10000</v>
      </c>
      <c r="G149" s="227">
        <f t="shared" si="94"/>
        <v>100000</v>
      </c>
      <c r="H149" s="268">
        <f t="shared" si="95"/>
        <v>169.537501695375</v>
      </c>
      <c r="I149" s="642">
        <f t="shared" si="96"/>
        <v>3000</v>
      </c>
      <c r="J149" s="642">
        <f>1600*D149</f>
        <v>1600</v>
      </c>
      <c r="K149" s="642">
        <f t="shared" si="97"/>
        <v>100000</v>
      </c>
      <c r="L149" s="501"/>
      <c r="M149" s="501"/>
      <c r="N149" s="501"/>
      <c r="O149" s="500"/>
    </row>
    <row r="150" spans="1:15" x14ac:dyDescent="0.25">
      <c r="A150" s="188">
        <v>6</v>
      </c>
      <c r="B150" s="189" t="s">
        <v>747</v>
      </c>
      <c r="C150" s="225" t="s">
        <v>28</v>
      </c>
      <c r="D150" s="226">
        <v>1</v>
      </c>
      <c r="E150" s="229">
        <v>10</v>
      </c>
      <c r="F150" s="25">
        <v>10000</v>
      </c>
      <c r="G150" s="227">
        <f t="shared" si="94"/>
        <v>100000</v>
      </c>
      <c r="H150" s="268">
        <f t="shared" si="95"/>
        <v>169.537501695375</v>
      </c>
      <c r="I150" s="642">
        <f t="shared" si="96"/>
        <v>3000</v>
      </c>
      <c r="J150" s="642">
        <f>1600*D150</f>
        <v>1600</v>
      </c>
      <c r="K150" s="642">
        <f t="shared" si="97"/>
        <v>100000</v>
      </c>
      <c r="L150" s="501"/>
      <c r="M150" s="501"/>
      <c r="N150" s="501"/>
      <c r="O150" s="500"/>
    </row>
    <row r="151" spans="1:15" x14ac:dyDescent="0.25">
      <c r="A151" s="188">
        <v>7</v>
      </c>
      <c r="B151" s="189" t="s">
        <v>748</v>
      </c>
      <c r="C151" s="225" t="s">
        <v>28</v>
      </c>
      <c r="D151" s="226">
        <v>6</v>
      </c>
      <c r="E151" s="229">
        <v>10</v>
      </c>
      <c r="F151" s="25">
        <v>10000</v>
      </c>
      <c r="G151" s="227">
        <f t="shared" si="94"/>
        <v>600000</v>
      </c>
      <c r="H151" s="268">
        <f t="shared" si="95"/>
        <v>1017.22501017225</v>
      </c>
      <c r="I151" s="642">
        <f t="shared" ref="I151:I153" si="98">G151*0.03</f>
        <v>18000</v>
      </c>
      <c r="J151" s="642">
        <f>1600*D151</f>
        <v>9600</v>
      </c>
      <c r="K151" s="642">
        <f t="shared" ref="K151:K153" si="99">G151/D151</f>
        <v>100000</v>
      </c>
      <c r="L151" s="501"/>
      <c r="M151" s="501"/>
      <c r="N151" s="501"/>
      <c r="O151" s="500"/>
    </row>
    <row r="152" spans="1:15" x14ac:dyDescent="0.25">
      <c r="A152" s="188">
        <v>8</v>
      </c>
      <c r="B152" s="189" t="s">
        <v>1513</v>
      </c>
      <c r="C152" s="225" t="s">
        <v>28</v>
      </c>
      <c r="D152" s="226">
        <v>2</v>
      </c>
      <c r="E152" s="229">
        <v>10</v>
      </c>
      <c r="F152" s="25">
        <v>10000</v>
      </c>
      <c r="G152" s="227">
        <f t="shared" si="94"/>
        <v>200000</v>
      </c>
      <c r="H152" s="268">
        <f t="shared" si="95"/>
        <v>339.07500339075</v>
      </c>
      <c r="I152" s="642">
        <f t="shared" si="98"/>
        <v>6000</v>
      </c>
      <c r="J152" s="642">
        <f>1600*D152</f>
        <v>3200</v>
      </c>
      <c r="K152" s="642">
        <f t="shared" si="99"/>
        <v>100000</v>
      </c>
      <c r="L152" s="501"/>
      <c r="M152" s="501"/>
      <c r="N152" s="501"/>
      <c r="O152" s="500"/>
    </row>
    <row r="153" spans="1:15" ht="16.5" thickBot="1" x14ac:dyDescent="0.3">
      <c r="A153" s="188">
        <v>9</v>
      </c>
      <c r="B153" s="189" t="s">
        <v>750</v>
      </c>
      <c r="C153" s="225" t="s">
        <v>28</v>
      </c>
      <c r="D153" s="226">
        <v>1</v>
      </c>
      <c r="E153" s="229">
        <v>10</v>
      </c>
      <c r="F153" s="227">
        <v>5000</v>
      </c>
      <c r="G153" s="227">
        <f t="shared" si="94"/>
        <v>50000</v>
      </c>
      <c r="H153" s="268">
        <f t="shared" si="95"/>
        <v>84.7687508476875</v>
      </c>
      <c r="I153" s="642">
        <f t="shared" si="98"/>
        <v>1500</v>
      </c>
      <c r="J153" s="642">
        <f>1050*D153</f>
        <v>1050</v>
      </c>
      <c r="K153" s="642">
        <f t="shared" si="99"/>
        <v>50000</v>
      </c>
      <c r="L153" s="501"/>
      <c r="M153" s="501"/>
      <c r="N153" s="501"/>
      <c r="O153" s="500"/>
    </row>
    <row r="154" spans="1:15" ht="18.75" thickBot="1" x14ac:dyDescent="0.3">
      <c r="A154" s="242" t="s">
        <v>522</v>
      </c>
      <c r="B154" s="243"/>
      <c r="C154" s="242"/>
      <c r="D154" s="242"/>
      <c r="E154" s="242"/>
      <c r="F154" s="244"/>
      <c r="G154" s="244">
        <f>SUM(G145:G153)</f>
        <v>1840000</v>
      </c>
      <c r="H154" s="506">
        <f>SUM(H145:H153)</f>
        <v>3119.4900311948995</v>
      </c>
      <c r="I154" s="263">
        <f>SUM(I145:I153)</f>
        <v>55200</v>
      </c>
      <c r="J154" s="263">
        <f>SUM(J145:J153)</f>
        <v>27850</v>
      </c>
      <c r="K154" s="501"/>
      <c r="L154" s="501"/>
      <c r="M154" s="501"/>
      <c r="N154" s="501"/>
      <c r="O154" s="500"/>
    </row>
    <row r="155" spans="1:15" ht="36" customHeight="1" thickBot="1" x14ac:dyDescent="0.3">
      <c r="A155" s="780" t="s">
        <v>526</v>
      </c>
      <c r="B155" s="781"/>
      <c r="C155" s="781"/>
      <c r="D155" s="781"/>
      <c r="E155" s="783"/>
      <c r="F155" s="348"/>
      <c r="G155" s="349"/>
      <c r="H155" s="545"/>
      <c r="I155" s="501"/>
      <c r="J155" s="501"/>
      <c r="K155" s="501"/>
      <c r="L155" s="501"/>
      <c r="M155" s="501"/>
      <c r="N155" s="501"/>
      <c r="O155" s="500"/>
    </row>
    <row r="156" spans="1:15" ht="18" x14ac:dyDescent="0.25">
      <c r="A156" s="231"/>
      <c r="B156" s="234" t="s">
        <v>524</v>
      </c>
      <c r="C156" s="232"/>
      <c r="D156" s="232"/>
      <c r="E156" s="232"/>
      <c r="F156" s="232"/>
      <c r="G156" s="232"/>
      <c r="H156" s="346"/>
      <c r="I156" s="501"/>
      <c r="J156" s="501"/>
      <c r="K156" s="501"/>
      <c r="L156" s="501"/>
      <c r="M156" s="501"/>
      <c r="N156" s="501"/>
      <c r="O156" s="500"/>
    </row>
    <row r="157" spans="1:15" x14ac:dyDescent="0.25">
      <c r="A157" s="22">
        <v>1</v>
      </c>
      <c r="B157" s="26" t="s">
        <v>1293</v>
      </c>
      <c r="C157" s="23" t="s">
        <v>83</v>
      </c>
      <c r="D157" s="19">
        <f>(140-32)-4</f>
        <v>104</v>
      </c>
      <c r="E157" s="23">
        <v>10</v>
      </c>
      <c r="F157" s="25">
        <v>10000</v>
      </c>
      <c r="G157" s="227">
        <f t="shared" ref="G157:G175" si="100">D157*E157*F157</f>
        <v>10400000</v>
      </c>
      <c r="H157" s="268">
        <f t="shared" ref="H157:H175" si="101">G157/589.84</f>
        <v>17631.900176318999</v>
      </c>
      <c r="I157" s="642">
        <f t="shared" ref="I157" si="102">G157*0.03</f>
        <v>312000</v>
      </c>
      <c r="J157" s="642">
        <f>1600*D157</f>
        <v>166400</v>
      </c>
      <c r="K157" s="642">
        <f t="shared" ref="K157" si="103">G157/D157</f>
        <v>100000</v>
      </c>
      <c r="L157" s="501"/>
      <c r="M157" s="501"/>
      <c r="N157" s="501"/>
      <c r="O157" s="500"/>
    </row>
    <row r="158" spans="1:15" x14ac:dyDescent="0.25">
      <c r="A158" s="22">
        <v>2</v>
      </c>
      <c r="B158" s="26" t="s">
        <v>1294</v>
      </c>
      <c r="C158" s="23" t="s">
        <v>30</v>
      </c>
      <c r="D158" s="19">
        <f>140*3*10</f>
        <v>4200</v>
      </c>
      <c r="E158" s="23">
        <v>1</v>
      </c>
      <c r="F158" s="25">
        <v>850</v>
      </c>
      <c r="G158" s="227">
        <f t="shared" si="100"/>
        <v>3570000</v>
      </c>
      <c r="H158" s="268">
        <f t="shared" si="101"/>
        <v>6052.4888105248874</v>
      </c>
      <c r="I158" s="501"/>
      <c r="J158" s="501"/>
      <c r="K158" s="501"/>
      <c r="L158" s="501"/>
      <c r="M158" s="501"/>
      <c r="N158" s="501"/>
      <c r="O158" s="500"/>
    </row>
    <row r="159" spans="1:15" x14ac:dyDescent="0.25">
      <c r="A159" s="22">
        <v>3</v>
      </c>
      <c r="B159" s="26" t="s">
        <v>1295</v>
      </c>
      <c r="C159" s="23" t="s">
        <v>83</v>
      </c>
      <c r="D159" s="19">
        <v>23</v>
      </c>
      <c r="E159" s="23">
        <v>7</v>
      </c>
      <c r="F159" s="25">
        <v>10000</v>
      </c>
      <c r="G159" s="227">
        <f t="shared" si="100"/>
        <v>1610000</v>
      </c>
      <c r="H159" s="268">
        <f t="shared" si="101"/>
        <v>2729.5537772955377</v>
      </c>
      <c r="I159" s="642">
        <f t="shared" ref="I159" si="104">G159*0.03</f>
        <v>48300</v>
      </c>
      <c r="J159" s="642">
        <f>1600*D159</f>
        <v>36800</v>
      </c>
      <c r="K159" s="642">
        <f t="shared" ref="K159" si="105">G159/D159</f>
        <v>70000</v>
      </c>
      <c r="L159" s="501"/>
      <c r="M159" s="501"/>
      <c r="N159" s="501"/>
      <c r="O159" s="500"/>
    </row>
    <row r="160" spans="1:15" x14ac:dyDescent="0.25">
      <c r="A160" s="22">
        <v>4</v>
      </c>
      <c r="B160" s="26" t="s">
        <v>1296</v>
      </c>
      <c r="C160" s="23" t="s">
        <v>30</v>
      </c>
      <c r="D160" s="19">
        <f>D159*3*10</f>
        <v>690</v>
      </c>
      <c r="E160" s="23">
        <v>1</v>
      </c>
      <c r="F160" s="25">
        <v>850</v>
      </c>
      <c r="G160" s="227">
        <f t="shared" si="100"/>
        <v>586500</v>
      </c>
      <c r="H160" s="268">
        <f t="shared" si="101"/>
        <v>994.33744744337446</v>
      </c>
      <c r="I160" s="501"/>
      <c r="J160" s="501"/>
      <c r="K160" s="501"/>
      <c r="L160" s="501"/>
      <c r="M160" s="501"/>
      <c r="N160" s="501"/>
      <c r="O160" s="500"/>
    </row>
    <row r="161" spans="1:15" x14ac:dyDescent="0.25">
      <c r="A161" s="22">
        <v>5</v>
      </c>
      <c r="B161" s="26" t="s">
        <v>1297</v>
      </c>
      <c r="C161" s="23" t="s">
        <v>84</v>
      </c>
      <c r="D161" s="19">
        <v>3</v>
      </c>
      <c r="E161" s="23">
        <v>0</v>
      </c>
      <c r="F161" s="25">
        <v>75000</v>
      </c>
      <c r="G161" s="227">
        <f t="shared" si="100"/>
        <v>0</v>
      </c>
      <c r="H161" s="268">
        <f t="shared" si="101"/>
        <v>0</v>
      </c>
      <c r="I161" s="501"/>
      <c r="J161" s="501"/>
      <c r="K161" s="501"/>
      <c r="L161" s="501"/>
      <c r="M161" s="501"/>
      <c r="N161" s="501"/>
      <c r="O161" s="500"/>
    </row>
    <row r="162" spans="1:15" x14ac:dyDescent="0.25">
      <c r="A162" s="22">
        <v>6</v>
      </c>
      <c r="B162" s="26" t="s">
        <v>1298</v>
      </c>
      <c r="C162" s="23" t="s">
        <v>29</v>
      </c>
      <c r="D162" s="19">
        <f>D161*100*0.2*10</f>
        <v>600</v>
      </c>
      <c r="E162" s="23">
        <v>1</v>
      </c>
      <c r="F162" s="25">
        <v>800</v>
      </c>
      <c r="G162" s="227">
        <f t="shared" si="100"/>
        <v>480000</v>
      </c>
      <c r="H162" s="268">
        <f t="shared" si="101"/>
        <v>813.7800081378</v>
      </c>
      <c r="I162" s="501"/>
      <c r="J162" s="501"/>
      <c r="K162" s="501"/>
      <c r="L162" s="501"/>
      <c r="M162" s="501"/>
      <c r="N162" s="501"/>
      <c r="O162" s="500"/>
    </row>
    <row r="163" spans="1:15" x14ac:dyDescent="0.25">
      <c r="A163" s="22">
        <v>7</v>
      </c>
      <c r="B163" s="26" t="s">
        <v>1363</v>
      </c>
      <c r="C163" s="23" t="s">
        <v>90</v>
      </c>
      <c r="D163" s="19">
        <f>100*0.2*1*10</f>
        <v>200</v>
      </c>
      <c r="E163" s="23">
        <v>1</v>
      </c>
      <c r="F163" s="25">
        <v>800</v>
      </c>
      <c r="G163" s="227">
        <f t="shared" si="100"/>
        <v>160000</v>
      </c>
      <c r="H163" s="268">
        <f t="shared" si="101"/>
        <v>271.2600027126</v>
      </c>
      <c r="I163" s="501"/>
      <c r="J163" s="501"/>
      <c r="K163" s="501"/>
      <c r="L163" s="501"/>
      <c r="M163" s="501"/>
      <c r="N163" s="501"/>
      <c r="O163" s="500"/>
    </row>
    <row r="164" spans="1:15" x14ac:dyDescent="0.25">
      <c r="A164" s="22">
        <v>8</v>
      </c>
      <c r="B164" s="26" t="s">
        <v>1299</v>
      </c>
      <c r="C164" s="23" t="s">
        <v>1280</v>
      </c>
      <c r="D164" s="19">
        <v>0</v>
      </c>
      <c r="E164" s="23">
        <v>0</v>
      </c>
      <c r="F164" s="25">
        <f>75000+225000</f>
        <v>300000</v>
      </c>
      <c r="G164" s="227">
        <f t="shared" si="100"/>
        <v>0</v>
      </c>
      <c r="H164" s="268">
        <f t="shared" si="101"/>
        <v>0</v>
      </c>
      <c r="I164" s="501"/>
      <c r="J164" s="501"/>
      <c r="K164" s="501"/>
      <c r="L164" s="501"/>
      <c r="M164" s="501"/>
      <c r="N164" s="501"/>
      <c r="O164" s="500"/>
    </row>
    <row r="165" spans="1:15" x14ac:dyDescent="0.25">
      <c r="A165" s="22">
        <v>9</v>
      </c>
      <c r="B165" s="26" t="s">
        <v>1446</v>
      </c>
      <c r="C165" s="23" t="s">
        <v>30</v>
      </c>
      <c r="D165" s="19">
        <f>19*3*10</f>
        <v>570</v>
      </c>
      <c r="E165" s="23">
        <v>1</v>
      </c>
      <c r="F165" s="25">
        <v>850</v>
      </c>
      <c r="G165" s="227">
        <f t="shared" si="100"/>
        <v>484500</v>
      </c>
      <c r="H165" s="268">
        <f t="shared" si="101"/>
        <v>821.40919571409188</v>
      </c>
      <c r="I165" s="501"/>
      <c r="J165" s="501"/>
      <c r="K165" s="501"/>
      <c r="L165" s="501"/>
      <c r="M165" s="501"/>
      <c r="N165" s="501"/>
      <c r="O165" s="500"/>
    </row>
    <row r="166" spans="1:15" x14ac:dyDescent="0.25">
      <c r="A166" s="22">
        <v>10</v>
      </c>
      <c r="B166" s="26" t="s">
        <v>1300</v>
      </c>
      <c r="C166" s="23" t="s">
        <v>1301</v>
      </c>
      <c r="D166" s="19">
        <v>0</v>
      </c>
      <c r="E166" s="23">
        <v>0</v>
      </c>
      <c r="F166" s="25">
        <v>6000</v>
      </c>
      <c r="G166" s="227">
        <f t="shared" si="100"/>
        <v>0</v>
      </c>
      <c r="H166" s="268">
        <f t="shared" si="101"/>
        <v>0</v>
      </c>
      <c r="I166" s="501"/>
      <c r="J166" s="501"/>
      <c r="K166" s="501"/>
      <c r="L166" s="501"/>
      <c r="M166" s="501"/>
      <c r="N166" s="501"/>
      <c r="O166" s="500"/>
    </row>
    <row r="167" spans="1:15" x14ac:dyDescent="0.25">
      <c r="A167" s="22">
        <v>11</v>
      </c>
      <c r="B167" s="26" t="s">
        <v>1461</v>
      </c>
      <c r="C167" s="23" t="s">
        <v>1302</v>
      </c>
      <c r="D167" s="19">
        <v>3</v>
      </c>
      <c r="E167" s="23">
        <v>2</v>
      </c>
      <c r="F167" s="25">
        <v>25000</v>
      </c>
      <c r="G167" s="227">
        <f t="shared" si="100"/>
        <v>150000</v>
      </c>
      <c r="H167" s="268">
        <f t="shared" si="101"/>
        <v>254.3062525430625</v>
      </c>
      <c r="I167" s="501"/>
      <c r="J167" s="501"/>
      <c r="K167" s="501"/>
      <c r="L167" s="501"/>
      <c r="M167" s="501"/>
      <c r="N167" s="501"/>
      <c r="O167" s="500"/>
    </row>
    <row r="168" spans="1:15" x14ac:dyDescent="0.25">
      <c r="A168" s="22">
        <v>12</v>
      </c>
      <c r="B168" s="26" t="s">
        <v>267</v>
      </c>
      <c r="C168" s="23" t="s">
        <v>1302</v>
      </c>
      <c r="D168" s="19">
        <v>0</v>
      </c>
      <c r="E168" s="23">
        <v>0</v>
      </c>
      <c r="F168" s="25">
        <v>0</v>
      </c>
      <c r="G168" s="227">
        <f t="shared" si="100"/>
        <v>0</v>
      </c>
      <c r="H168" s="268">
        <f t="shared" si="101"/>
        <v>0</v>
      </c>
      <c r="I168" s="501"/>
      <c r="J168" s="501"/>
      <c r="K168" s="501"/>
      <c r="L168" s="501"/>
      <c r="M168" s="501"/>
      <c r="N168" s="501"/>
      <c r="O168" s="500"/>
    </row>
    <row r="169" spans="1:15" x14ac:dyDescent="0.25">
      <c r="A169" s="22">
        <v>13</v>
      </c>
      <c r="B169" s="26" t="s">
        <v>268</v>
      </c>
      <c r="C169" s="23" t="s">
        <v>1302</v>
      </c>
      <c r="D169" s="19">
        <v>0</v>
      </c>
      <c r="E169" s="23">
        <v>0</v>
      </c>
      <c r="F169" s="25">
        <v>0</v>
      </c>
      <c r="G169" s="227">
        <f t="shared" si="100"/>
        <v>0</v>
      </c>
      <c r="H169" s="268">
        <f t="shared" si="101"/>
        <v>0</v>
      </c>
      <c r="I169" s="501"/>
      <c r="J169" s="501"/>
      <c r="K169" s="501"/>
      <c r="L169" s="501"/>
      <c r="M169" s="501"/>
      <c r="N169" s="501"/>
      <c r="O169" s="500"/>
    </row>
    <row r="170" spans="1:15" x14ac:dyDescent="0.25">
      <c r="A170" s="22">
        <v>14</v>
      </c>
      <c r="B170" s="26" t="s">
        <v>269</v>
      </c>
      <c r="C170" s="23" t="s">
        <v>1302</v>
      </c>
      <c r="D170" s="19">
        <v>0</v>
      </c>
      <c r="E170" s="23">
        <v>0</v>
      </c>
      <c r="F170" s="25">
        <v>0</v>
      </c>
      <c r="G170" s="227">
        <f t="shared" si="100"/>
        <v>0</v>
      </c>
      <c r="H170" s="268">
        <f t="shared" si="101"/>
        <v>0</v>
      </c>
      <c r="I170" s="501"/>
      <c r="J170" s="501"/>
      <c r="K170" s="501"/>
      <c r="L170" s="501"/>
      <c r="M170" s="501"/>
      <c r="N170" s="501"/>
      <c r="O170" s="500"/>
    </row>
    <row r="171" spans="1:15" x14ac:dyDescent="0.25">
      <c r="A171" s="22">
        <v>15</v>
      </c>
      <c r="B171" s="26" t="s">
        <v>87</v>
      </c>
      <c r="C171" s="23" t="s">
        <v>85</v>
      </c>
      <c r="D171" s="19">
        <v>0</v>
      </c>
      <c r="E171" s="23">
        <v>0</v>
      </c>
      <c r="F171" s="25">
        <v>0</v>
      </c>
      <c r="G171" s="227">
        <f t="shared" si="100"/>
        <v>0</v>
      </c>
      <c r="H171" s="268">
        <f t="shared" si="101"/>
        <v>0</v>
      </c>
      <c r="I171" s="501"/>
      <c r="J171" s="501"/>
      <c r="K171" s="501"/>
      <c r="L171" s="501"/>
      <c r="M171" s="501"/>
      <c r="N171" s="501"/>
      <c r="O171" s="500"/>
    </row>
    <row r="172" spans="1:15" x14ac:dyDescent="0.25">
      <c r="A172" s="22">
        <v>16</v>
      </c>
      <c r="B172" s="26" t="s">
        <v>1303</v>
      </c>
      <c r="C172" s="23" t="s">
        <v>85</v>
      </c>
      <c r="D172" s="19">
        <v>0</v>
      </c>
      <c r="E172" s="23">
        <v>0</v>
      </c>
      <c r="F172" s="25">
        <v>0</v>
      </c>
      <c r="G172" s="227">
        <f t="shared" si="100"/>
        <v>0</v>
      </c>
      <c r="H172" s="268">
        <f t="shared" si="101"/>
        <v>0</v>
      </c>
      <c r="I172" s="501"/>
      <c r="J172" s="501"/>
      <c r="K172" s="501"/>
      <c r="L172" s="501"/>
      <c r="M172" s="501"/>
      <c r="N172" s="501"/>
      <c r="O172" s="500"/>
    </row>
    <row r="173" spans="1:15" x14ac:dyDescent="0.25">
      <c r="A173" s="22">
        <v>17</v>
      </c>
      <c r="B173" s="26" t="s">
        <v>270</v>
      </c>
      <c r="C173" s="23" t="s">
        <v>29</v>
      </c>
      <c r="D173" s="19">
        <v>20</v>
      </c>
      <c r="E173" s="23">
        <v>10</v>
      </c>
      <c r="F173" s="25">
        <v>800</v>
      </c>
      <c r="G173" s="227">
        <f t="shared" si="100"/>
        <v>160000</v>
      </c>
      <c r="H173" s="268">
        <f t="shared" si="101"/>
        <v>271.2600027126</v>
      </c>
      <c r="I173" s="501"/>
      <c r="J173" s="501"/>
      <c r="K173" s="501"/>
      <c r="L173" s="501"/>
      <c r="M173" s="501"/>
      <c r="N173" s="501"/>
      <c r="O173" s="500"/>
    </row>
    <row r="174" spans="1:15" x14ac:dyDescent="0.25">
      <c r="A174" s="22">
        <v>18</v>
      </c>
      <c r="B174" s="26" t="s">
        <v>1304</v>
      </c>
      <c r="C174" s="23" t="s">
        <v>1305</v>
      </c>
      <c r="D174" s="19">
        <v>70</v>
      </c>
      <c r="E174" s="23">
        <v>1</v>
      </c>
      <c r="F174" s="25">
        <v>1500</v>
      </c>
      <c r="G174" s="227">
        <f t="shared" si="100"/>
        <v>105000</v>
      </c>
      <c r="H174" s="268">
        <f t="shared" si="101"/>
        <v>178.01437678014375</v>
      </c>
      <c r="I174" s="501"/>
      <c r="J174" s="501"/>
      <c r="K174" s="501"/>
      <c r="L174" s="501"/>
      <c r="M174" s="501"/>
      <c r="N174" s="501"/>
      <c r="O174" s="500"/>
    </row>
    <row r="175" spans="1:15" ht="16.5" thickBot="1" x14ac:dyDescent="0.3">
      <c r="A175" s="22">
        <v>19</v>
      </c>
      <c r="B175" s="26" t="s">
        <v>265</v>
      </c>
      <c r="C175" s="23" t="s">
        <v>1306</v>
      </c>
      <c r="D175" s="19">
        <v>0</v>
      </c>
      <c r="E175" s="23">
        <v>9</v>
      </c>
      <c r="F175" s="25">
        <v>10000</v>
      </c>
      <c r="G175" s="227">
        <f t="shared" si="100"/>
        <v>0</v>
      </c>
      <c r="H175" s="268">
        <f t="shared" si="101"/>
        <v>0</v>
      </c>
      <c r="I175" s="501"/>
      <c r="J175" s="501"/>
      <c r="K175" s="501"/>
      <c r="L175" s="501"/>
      <c r="M175" s="501"/>
      <c r="N175" s="501"/>
      <c r="O175" s="500"/>
    </row>
    <row r="176" spans="1:15" ht="19.149999999999999" customHeight="1" thickBot="1" x14ac:dyDescent="0.3">
      <c r="A176" s="780" t="s">
        <v>525</v>
      </c>
      <c r="B176" s="781"/>
      <c r="C176" s="781"/>
      <c r="D176" s="781"/>
      <c r="E176" s="783"/>
      <c r="F176" s="348"/>
      <c r="G176" s="349">
        <f>SUM(G157:G175)</f>
        <v>17706000</v>
      </c>
      <c r="H176" s="545">
        <f>SUM(H157:H175)</f>
        <v>30018.310050183092</v>
      </c>
      <c r="I176" s="263">
        <f>I157+I159</f>
        <v>360300</v>
      </c>
      <c r="J176" s="263">
        <f>J157+J159</f>
        <v>203200</v>
      </c>
      <c r="K176" s="501"/>
      <c r="L176" s="501"/>
      <c r="M176" s="501"/>
      <c r="N176" s="501"/>
      <c r="O176" s="500"/>
    </row>
    <row r="177" spans="1:15" ht="18" x14ac:dyDescent="0.25">
      <c r="A177" s="233"/>
      <c r="B177" s="234" t="s">
        <v>399</v>
      </c>
      <c r="C177" s="234"/>
      <c r="D177" s="234"/>
      <c r="E177" s="234"/>
      <c r="F177" s="234"/>
      <c r="G177" s="234"/>
      <c r="H177" s="596"/>
      <c r="I177" s="501"/>
      <c r="J177" s="501"/>
      <c r="K177" s="501"/>
      <c r="L177" s="501"/>
      <c r="M177" s="501"/>
      <c r="N177" s="501"/>
      <c r="O177" s="500"/>
    </row>
    <row r="178" spans="1:15" x14ac:dyDescent="0.25">
      <c r="A178" s="188"/>
      <c r="B178" s="189" t="s">
        <v>400</v>
      </c>
      <c r="C178" s="225"/>
      <c r="D178" s="226"/>
      <c r="E178" s="226"/>
      <c r="F178" s="227"/>
      <c r="G178" s="227"/>
      <c r="H178" s="596"/>
      <c r="I178" s="501"/>
      <c r="J178" s="501"/>
      <c r="K178" s="501"/>
      <c r="L178" s="501"/>
      <c r="M178" s="501"/>
      <c r="N178" s="501"/>
      <c r="O178" s="500"/>
    </row>
    <row r="179" spans="1:15" ht="28.5" x14ac:dyDescent="0.25">
      <c r="A179" s="188">
        <v>1</v>
      </c>
      <c r="B179" s="189" t="s">
        <v>1279</v>
      </c>
      <c r="C179" s="225" t="s">
        <v>28</v>
      </c>
      <c r="D179" s="226">
        <v>1</v>
      </c>
      <c r="E179" s="226">
        <v>3</v>
      </c>
      <c r="F179" s="227">
        <v>8000</v>
      </c>
      <c r="G179" s="227">
        <f>D179*E179*F179</f>
        <v>24000</v>
      </c>
      <c r="H179" s="268">
        <f t="shared" ref="H179:H211" si="106">G179/589.84</f>
        <v>40.689000406890003</v>
      </c>
      <c r="I179" s="642">
        <f t="shared" ref="I179:I182" si="107">G179*0.03</f>
        <v>720</v>
      </c>
      <c r="J179" s="642">
        <f>550*D179</f>
        <v>550</v>
      </c>
      <c r="K179" s="642">
        <f t="shared" ref="K179:K182" si="108">G179/D179</f>
        <v>24000</v>
      </c>
      <c r="L179" s="501"/>
      <c r="M179" s="501"/>
      <c r="N179" s="501"/>
      <c r="O179" s="500"/>
    </row>
    <row r="180" spans="1:15" ht="28.5" x14ac:dyDescent="0.25">
      <c r="A180" s="188">
        <v>2</v>
      </c>
      <c r="B180" s="189" t="s">
        <v>1200</v>
      </c>
      <c r="C180" s="225" t="s">
        <v>28</v>
      </c>
      <c r="D180" s="226">
        <v>1</v>
      </c>
      <c r="E180" s="226">
        <v>3</v>
      </c>
      <c r="F180" s="227">
        <v>8000</v>
      </c>
      <c r="G180" s="227">
        <f t="shared" ref="G180:G211" si="109">D180*E180*F180</f>
        <v>24000</v>
      </c>
      <c r="H180" s="268">
        <f t="shared" si="106"/>
        <v>40.689000406890003</v>
      </c>
      <c r="I180" s="642">
        <f t="shared" si="107"/>
        <v>720</v>
      </c>
      <c r="J180" s="642">
        <f t="shared" ref="J180:J186" si="110">550*D180</f>
        <v>550</v>
      </c>
      <c r="K180" s="642">
        <f t="shared" si="108"/>
        <v>24000</v>
      </c>
      <c r="L180" s="501"/>
      <c r="M180" s="501"/>
      <c r="N180" s="501"/>
      <c r="O180" s="500"/>
    </row>
    <row r="181" spans="1:15" ht="28.5" x14ac:dyDescent="0.25">
      <c r="A181" s="188">
        <v>3</v>
      </c>
      <c r="B181" s="189" t="s">
        <v>1201</v>
      </c>
      <c r="C181" s="225" t="s">
        <v>28</v>
      </c>
      <c r="D181" s="226">
        <v>1</v>
      </c>
      <c r="E181" s="226">
        <v>3</v>
      </c>
      <c r="F181" s="227">
        <v>8000</v>
      </c>
      <c r="G181" s="227">
        <f t="shared" si="109"/>
        <v>24000</v>
      </c>
      <c r="H181" s="268">
        <f t="shared" si="106"/>
        <v>40.689000406890003</v>
      </c>
      <c r="I181" s="642">
        <f t="shared" si="107"/>
        <v>720</v>
      </c>
      <c r="J181" s="642">
        <f t="shared" si="110"/>
        <v>550</v>
      </c>
      <c r="K181" s="642">
        <f t="shared" si="108"/>
        <v>24000</v>
      </c>
      <c r="L181" s="501"/>
      <c r="M181" s="501"/>
      <c r="N181" s="501"/>
      <c r="O181" s="500"/>
    </row>
    <row r="182" spans="1:15" ht="28.5" x14ac:dyDescent="0.25">
      <c r="A182" s="188">
        <v>4</v>
      </c>
      <c r="B182" s="189" t="s">
        <v>1202</v>
      </c>
      <c r="C182" s="225" t="s">
        <v>28</v>
      </c>
      <c r="D182" s="226">
        <v>1</v>
      </c>
      <c r="E182" s="226">
        <v>3</v>
      </c>
      <c r="F182" s="227">
        <v>8000</v>
      </c>
      <c r="G182" s="227">
        <f t="shared" si="109"/>
        <v>24000</v>
      </c>
      <c r="H182" s="268">
        <f t="shared" si="106"/>
        <v>40.689000406890003</v>
      </c>
      <c r="I182" s="642">
        <f t="shared" si="107"/>
        <v>720</v>
      </c>
      <c r="J182" s="642">
        <f t="shared" si="110"/>
        <v>550</v>
      </c>
      <c r="K182" s="642">
        <f t="shared" si="108"/>
        <v>24000</v>
      </c>
      <c r="L182" s="501"/>
      <c r="M182" s="501"/>
      <c r="N182" s="501"/>
      <c r="O182" s="500"/>
    </row>
    <row r="183" spans="1:15" ht="28.5" x14ac:dyDescent="0.25">
      <c r="A183" s="188">
        <v>5</v>
      </c>
      <c r="B183" s="189" t="s">
        <v>1203</v>
      </c>
      <c r="C183" s="225" t="s">
        <v>28</v>
      </c>
      <c r="D183" s="226">
        <v>1</v>
      </c>
      <c r="E183" s="226">
        <v>3</v>
      </c>
      <c r="F183" s="227">
        <v>8000</v>
      </c>
      <c r="G183" s="227">
        <f t="shared" si="109"/>
        <v>24000</v>
      </c>
      <c r="H183" s="268">
        <f t="shared" si="106"/>
        <v>40.689000406890003</v>
      </c>
      <c r="I183" s="642">
        <f t="shared" ref="I183:I207" si="111">G183*0.03</f>
        <v>720</v>
      </c>
      <c r="J183" s="642">
        <f t="shared" si="110"/>
        <v>550</v>
      </c>
      <c r="K183" s="642">
        <f t="shared" ref="K183:K207" si="112">G183/D183</f>
        <v>24000</v>
      </c>
      <c r="L183" s="501"/>
      <c r="M183" s="501"/>
      <c r="N183" s="501"/>
      <c r="O183" s="500"/>
    </row>
    <row r="184" spans="1:15" ht="28.5" x14ac:dyDescent="0.25">
      <c r="A184" s="188">
        <v>6</v>
      </c>
      <c r="B184" s="189" t="s">
        <v>1204</v>
      </c>
      <c r="C184" s="225" t="s">
        <v>28</v>
      </c>
      <c r="D184" s="226">
        <v>1</v>
      </c>
      <c r="E184" s="226">
        <v>3</v>
      </c>
      <c r="F184" s="227">
        <v>8000</v>
      </c>
      <c r="G184" s="227">
        <f t="shared" si="109"/>
        <v>24000</v>
      </c>
      <c r="H184" s="268">
        <f t="shared" si="106"/>
        <v>40.689000406890003</v>
      </c>
      <c r="I184" s="642">
        <f t="shared" si="111"/>
        <v>720</v>
      </c>
      <c r="J184" s="642">
        <f t="shared" si="110"/>
        <v>550</v>
      </c>
      <c r="K184" s="642">
        <f t="shared" si="112"/>
        <v>24000</v>
      </c>
      <c r="L184" s="501"/>
      <c r="M184" s="501"/>
      <c r="N184" s="501"/>
      <c r="O184" s="500"/>
    </row>
    <row r="185" spans="1:15" ht="28.5" x14ac:dyDescent="0.25">
      <c r="A185" s="188">
        <v>7</v>
      </c>
      <c r="B185" s="189" t="s">
        <v>1205</v>
      </c>
      <c r="C185" s="225" t="s">
        <v>28</v>
      </c>
      <c r="D185" s="226">
        <v>1</v>
      </c>
      <c r="E185" s="226">
        <v>3</v>
      </c>
      <c r="F185" s="227">
        <v>8000</v>
      </c>
      <c r="G185" s="227">
        <f t="shared" si="109"/>
        <v>24000</v>
      </c>
      <c r="H185" s="268">
        <f t="shared" si="106"/>
        <v>40.689000406890003</v>
      </c>
      <c r="I185" s="642">
        <f t="shared" si="111"/>
        <v>720</v>
      </c>
      <c r="J185" s="642">
        <f t="shared" si="110"/>
        <v>550</v>
      </c>
      <c r="K185" s="642">
        <f t="shared" si="112"/>
        <v>24000</v>
      </c>
      <c r="L185" s="501"/>
      <c r="M185" s="501"/>
      <c r="N185" s="501"/>
      <c r="O185" s="500"/>
    </row>
    <row r="186" spans="1:15" ht="28.5" x14ac:dyDescent="0.25">
      <c r="A186" s="188">
        <v>8</v>
      </c>
      <c r="B186" s="189" t="s">
        <v>1206</v>
      </c>
      <c r="C186" s="225" t="s">
        <v>28</v>
      </c>
      <c r="D186" s="226">
        <v>1</v>
      </c>
      <c r="E186" s="226">
        <v>3</v>
      </c>
      <c r="F186" s="227">
        <v>8000</v>
      </c>
      <c r="G186" s="227">
        <f t="shared" si="109"/>
        <v>24000</v>
      </c>
      <c r="H186" s="268">
        <f t="shared" si="106"/>
        <v>40.689000406890003</v>
      </c>
      <c r="I186" s="642">
        <f t="shared" si="111"/>
        <v>720</v>
      </c>
      <c r="J186" s="642">
        <f t="shared" si="110"/>
        <v>550</v>
      </c>
      <c r="K186" s="642">
        <f t="shared" si="112"/>
        <v>24000</v>
      </c>
      <c r="L186" s="501"/>
      <c r="M186" s="501"/>
      <c r="N186" s="501"/>
      <c r="O186" s="500"/>
    </row>
    <row r="187" spans="1:15" ht="28.5" x14ac:dyDescent="0.25">
      <c r="A187" s="188">
        <v>9</v>
      </c>
      <c r="B187" s="189" t="s">
        <v>1278</v>
      </c>
      <c r="C187" s="225" t="s">
        <v>28</v>
      </c>
      <c r="D187" s="226">
        <v>2</v>
      </c>
      <c r="E187" s="226">
        <v>3</v>
      </c>
      <c r="F187" s="227">
        <v>5000</v>
      </c>
      <c r="G187" s="227">
        <f t="shared" si="109"/>
        <v>30000</v>
      </c>
      <c r="H187" s="268">
        <f t="shared" si="106"/>
        <v>50.8612505086125</v>
      </c>
      <c r="I187" s="642">
        <f t="shared" si="111"/>
        <v>900</v>
      </c>
      <c r="J187" s="642">
        <f>450*D187</f>
        <v>900</v>
      </c>
      <c r="K187" s="642">
        <f>G187/D187</f>
        <v>15000</v>
      </c>
      <c r="L187" s="501"/>
      <c r="M187" s="501"/>
      <c r="N187" s="501"/>
      <c r="O187" s="500"/>
    </row>
    <row r="188" spans="1:15" ht="28.5" x14ac:dyDescent="0.25">
      <c r="A188" s="188">
        <v>10</v>
      </c>
      <c r="B188" s="189" t="s">
        <v>1207</v>
      </c>
      <c r="C188" s="225" t="s">
        <v>28</v>
      </c>
      <c r="D188" s="226">
        <v>1</v>
      </c>
      <c r="E188" s="226">
        <v>3</v>
      </c>
      <c r="F188" s="227">
        <v>8000</v>
      </c>
      <c r="G188" s="227">
        <f t="shared" si="109"/>
        <v>24000</v>
      </c>
      <c r="H188" s="268">
        <f t="shared" si="106"/>
        <v>40.689000406890003</v>
      </c>
      <c r="I188" s="642">
        <f t="shared" si="111"/>
        <v>720</v>
      </c>
      <c r="J188" s="642">
        <f>550*D188</f>
        <v>550</v>
      </c>
      <c r="K188" s="642">
        <f t="shared" si="112"/>
        <v>24000</v>
      </c>
      <c r="L188" s="501"/>
      <c r="M188" s="501"/>
      <c r="N188" s="501"/>
      <c r="O188" s="500"/>
    </row>
    <row r="189" spans="1:15" ht="28.5" x14ac:dyDescent="0.25">
      <c r="A189" s="188">
        <v>11</v>
      </c>
      <c r="B189" s="189" t="s">
        <v>1208</v>
      </c>
      <c r="C189" s="225" t="s">
        <v>28</v>
      </c>
      <c r="D189" s="226">
        <v>1</v>
      </c>
      <c r="E189" s="226">
        <v>3</v>
      </c>
      <c r="F189" s="227">
        <v>8000</v>
      </c>
      <c r="G189" s="227">
        <f t="shared" si="109"/>
        <v>24000</v>
      </c>
      <c r="H189" s="268">
        <f t="shared" si="106"/>
        <v>40.689000406890003</v>
      </c>
      <c r="I189" s="642">
        <f t="shared" si="111"/>
        <v>720</v>
      </c>
      <c r="J189" s="642">
        <f t="shared" ref="J189:J197" si="113">550*D189</f>
        <v>550</v>
      </c>
      <c r="K189" s="642">
        <f t="shared" si="112"/>
        <v>24000</v>
      </c>
      <c r="L189" s="501"/>
      <c r="M189" s="501"/>
      <c r="N189" s="501"/>
      <c r="O189" s="500"/>
    </row>
    <row r="190" spans="1:15" ht="28.5" x14ac:dyDescent="0.25">
      <c r="A190" s="188">
        <v>12</v>
      </c>
      <c r="B190" s="189" t="s">
        <v>1209</v>
      </c>
      <c r="C190" s="225" t="s">
        <v>28</v>
      </c>
      <c r="D190" s="226">
        <v>1</v>
      </c>
      <c r="E190" s="226">
        <v>3</v>
      </c>
      <c r="F190" s="227">
        <v>8000</v>
      </c>
      <c r="G190" s="227">
        <f t="shared" si="109"/>
        <v>24000</v>
      </c>
      <c r="H190" s="268">
        <f t="shared" si="106"/>
        <v>40.689000406890003</v>
      </c>
      <c r="I190" s="642">
        <f t="shared" si="111"/>
        <v>720</v>
      </c>
      <c r="J190" s="642">
        <f t="shared" si="113"/>
        <v>550</v>
      </c>
      <c r="K190" s="642">
        <f t="shared" si="112"/>
        <v>24000</v>
      </c>
      <c r="L190" s="501"/>
      <c r="M190" s="501"/>
      <c r="N190" s="501"/>
      <c r="O190" s="500"/>
    </row>
    <row r="191" spans="1:15" ht="28.5" x14ac:dyDescent="0.25">
      <c r="A191" s="188">
        <v>13</v>
      </c>
      <c r="B191" s="189" t="s">
        <v>1210</v>
      </c>
      <c r="C191" s="225" t="s">
        <v>28</v>
      </c>
      <c r="D191" s="226">
        <v>1</v>
      </c>
      <c r="E191" s="226">
        <v>3</v>
      </c>
      <c r="F191" s="227">
        <v>8000</v>
      </c>
      <c r="G191" s="227">
        <f t="shared" si="109"/>
        <v>24000</v>
      </c>
      <c r="H191" s="268">
        <f t="shared" si="106"/>
        <v>40.689000406890003</v>
      </c>
      <c r="I191" s="642">
        <f t="shared" si="111"/>
        <v>720</v>
      </c>
      <c r="J191" s="642">
        <f t="shared" si="113"/>
        <v>550</v>
      </c>
      <c r="K191" s="642">
        <f t="shared" si="112"/>
        <v>24000</v>
      </c>
      <c r="L191" s="501"/>
      <c r="M191" s="501"/>
      <c r="N191" s="501"/>
      <c r="O191" s="500"/>
    </row>
    <row r="192" spans="1:15" ht="28.5" x14ac:dyDescent="0.25">
      <c r="A192" s="188">
        <v>14</v>
      </c>
      <c r="B192" s="189" t="s">
        <v>1211</v>
      </c>
      <c r="C192" s="225" t="s">
        <v>28</v>
      </c>
      <c r="D192" s="226">
        <v>1</v>
      </c>
      <c r="E192" s="226">
        <v>3</v>
      </c>
      <c r="F192" s="227">
        <v>8000</v>
      </c>
      <c r="G192" s="227">
        <f t="shared" si="109"/>
        <v>24000</v>
      </c>
      <c r="H192" s="268">
        <f t="shared" si="106"/>
        <v>40.689000406890003</v>
      </c>
      <c r="I192" s="642">
        <f t="shared" si="111"/>
        <v>720</v>
      </c>
      <c r="J192" s="642">
        <f t="shared" si="113"/>
        <v>550</v>
      </c>
      <c r="K192" s="642">
        <f t="shared" si="112"/>
        <v>24000</v>
      </c>
      <c r="L192" s="501"/>
      <c r="M192" s="501"/>
      <c r="N192" s="501"/>
      <c r="O192" s="500"/>
    </row>
    <row r="193" spans="1:15" ht="28.5" x14ac:dyDescent="0.25">
      <c r="A193" s="188">
        <v>15</v>
      </c>
      <c r="B193" s="189" t="s">
        <v>1212</v>
      </c>
      <c r="C193" s="225" t="s">
        <v>28</v>
      </c>
      <c r="D193" s="226">
        <v>1</v>
      </c>
      <c r="E193" s="226">
        <v>3</v>
      </c>
      <c r="F193" s="227">
        <v>8000</v>
      </c>
      <c r="G193" s="227">
        <f t="shared" si="109"/>
        <v>24000</v>
      </c>
      <c r="H193" s="268">
        <f t="shared" si="106"/>
        <v>40.689000406890003</v>
      </c>
      <c r="I193" s="642">
        <f t="shared" si="111"/>
        <v>720</v>
      </c>
      <c r="J193" s="642">
        <f t="shared" si="113"/>
        <v>550</v>
      </c>
      <c r="K193" s="642">
        <f t="shared" si="112"/>
        <v>24000</v>
      </c>
      <c r="L193" s="501"/>
      <c r="M193" s="501"/>
      <c r="N193" s="501"/>
      <c r="O193" s="500"/>
    </row>
    <row r="194" spans="1:15" ht="28.5" x14ac:dyDescent="0.25">
      <c r="A194" s="188">
        <v>16</v>
      </c>
      <c r="B194" s="189" t="s">
        <v>1213</v>
      </c>
      <c r="C194" s="225" t="s">
        <v>28</v>
      </c>
      <c r="D194" s="226">
        <v>1</v>
      </c>
      <c r="E194" s="226">
        <v>3</v>
      </c>
      <c r="F194" s="227">
        <v>8000</v>
      </c>
      <c r="G194" s="227">
        <f t="shared" si="109"/>
        <v>24000</v>
      </c>
      <c r="H194" s="268">
        <f t="shared" si="106"/>
        <v>40.689000406890003</v>
      </c>
      <c r="I194" s="642">
        <f t="shared" si="111"/>
        <v>720</v>
      </c>
      <c r="J194" s="642">
        <f t="shared" si="113"/>
        <v>550</v>
      </c>
      <c r="K194" s="642">
        <f t="shared" si="112"/>
        <v>24000</v>
      </c>
      <c r="L194" s="501"/>
      <c r="M194" s="501"/>
      <c r="N194" s="501"/>
      <c r="O194" s="500"/>
    </row>
    <row r="195" spans="1:15" ht="28.5" x14ac:dyDescent="0.25">
      <c r="A195" s="188">
        <v>17</v>
      </c>
      <c r="B195" s="189" t="s">
        <v>1214</v>
      </c>
      <c r="C195" s="225" t="s">
        <v>28</v>
      </c>
      <c r="D195" s="226">
        <v>1</v>
      </c>
      <c r="E195" s="226">
        <v>3</v>
      </c>
      <c r="F195" s="227">
        <v>8000</v>
      </c>
      <c r="G195" s="227">
        <f t="shared" si="109"/>
        <v>24000</v>
      </c>
      <c r="H195" s="268">
        <f t="shared" si="106"/>
        <v>40.689000406890003</v>
      </c>
      <c r="I195" s="642">
        <f t="shared" si="111"/>
        <v>720</v>
      </c>
      <c r="J195" s="642">
        <f t="shared" si="113"/>
        <v>550</v>
      </c>
      <c r="K195" s="642">
        <f t="shared" si="112"/>
        <v>24000</v>
      </c>
      <c r="L195" s="501"/>
      <c r="M195" s="501"/>
      <c r="N195" s="501"/>
      <c r="O195" s="500"/>
    </row>
    <row r="196" spans="1:15" ht="28.5" x14ac:dyDescent="0.25">
      <c r="A196" s="188">
        <v>18</v>
      </c>
      <c r="B196" s="189" t="s">
        <v>1215</v>
      </c>
      <c r="C196" s="225" t="s">
        <v>28</v>
      </c>
      <c r="D196" s="226">
        <v>1</v>
      </c>
      <c r="E196" s="226">
        <v>3</v>
      </c>
      <c r="F196" s="227">
        <v>8000</v>
      </c>
      <c r="G196" s="227">
        <f t="shared" si="109"/>
        <v>24000</v>
      </c>
      <c r="H196" s="268">
        <f t="shared" si="106"/>
        <v>40.689000406890003</v>
      </c>
      <c r="I196" s="642">
        <f t="shared" si="111"/>
        <v>720</v>
      </c>
      <c r="J196" s="642">
        <f t="shared" si="113"/>
        <v>550</v>
      </c>
      <c r="K196" s="642">
        <f t="shared" si="112"/>
        <v>24000</v>
      </c>
      <c r="L196" s="501"/>
      <c r="M196" s="501"/>
      <c r="N196" s="501"/>
      <c r="O196" s="500"/>
    </row>
    <row r="197" spans="1:15" ht="28.5" x14ac:dyDescent="0.25">
      <c r="A197" s="188">
        <v>19</v>
      </c>
      <c r="B197" s="189" t="s">
        <v>1216</v>
      </c>
      <c r="C197" s="225" t="s">
        <v>28</v>
      </c>
      <c r="D197" s="226">
        <v>1</v>
      </c>
      <c r="E197" s="226">
        <v>3</v>
      </c>
      <c r="F197" s="227">
        <v>8000</v>
      </c>
      <c r="G197" s="227">
        <f t="shared" si="109"/>
        <v>24000</v>
      </c>
      <c r="H197" s="268">
        <f t="shared" si="106"/>
        <v>40.689000406890003</v>
      </c>
      <c r="I197" s="642">
        <f t="shared" si="111"/>
        <v>720</v>
      </c>
      <c r="J197" s="642">
        <f t="shared" si="113"/>
        <v>550</v>
      </c>
      <c r="K197" s="642">
        <f t="shared" si="112"/>
        <v>24000</v>
      </c>
      <c r="L197" s="501"/>
      <c r="M197" s="501"/>
      <c r="N197" s="501"/>
      <c r="O197" s="500"/>
    </row>
    <row r="198" spans="1:15" x14ac:dyDescent="0.25">
      <c r="A198" s="188">
        <v>20</v>
      </c>
      <c r="B198" s="189" t="s">
        <v>318</v>
      </c>
      <c r="C198" s="225" t="s">
        <v>28</v>
      </c>
      <c r="D198" s="226">
        <v>6</v>
      </c>
      <c r="E198" s="226">
        <v>3</v>
      </c>
      <c r="F198" s="227">
        <v>5000</v>
      </c>
      <c r="G198" s="227">
        <f t="shared" si="109"/>
        <v>90000</v>
      </c>
      <c r="H198" s="268">
        <f t="shared" si="106"/>
        <v>152.5837515258375</v>
      </c>
      <c r="I198" s="642">
        <f t="shared" si="111"/>
        <v>2700</v>
      </c>
      <c r="J198" s="642">
        <f t="shared" ref="J198:J203" si="114">450*D198</f>
        <v>2700</v>
      </c>
      <c r="K198" s="642">
        <f t="shared" si="112"/>
        <v>15000</v>
      </c>
      <c r="L198" s="501"/>
      <c r="M198" s="501"/>
      <c r="N198" s="501"/>
      <c r="O198" s="500"/>
    </row>
    <row r="199" spans="1:15" x14ac:dyDescent="0.25">
      <c r="A199" s="188">
        <v>21</v>
      </c>
      <c r="B199" s="189" t="s">
        <v>319</v>
      </c>
      <c r="C199" s="225" t="s">
        <v>28</v>
      </c>
      <c r="D199" s="226">
        <v>2</v>
      </c>
      <c r="E199" s="226">
        <v>3</v>
      </c>
      <c r="F199" s="227">
        <v>5000</v>
      </c>
      <c r="G199" s="227">
        <f t="shared" si="109"/>
        <v>30000</v>
      </c>
      <c r="H199" s="268">
        <f t="shared" si="106"/>
        <v>50.8612505086125</v>
      </c>
      <c r="I199" s="642">
        <f t="shared" si="111"/>
        <v>900</v>
      </c>
      <c r="J199" s="642">
        <f t="shared" si="114"/>
        <v>900</v>
      </c>
      <c r="K199" s="642">
        <f t="shared" si="112"/>
        <v>15000</v>
      </c>
      <c r="L199" s="501"/>
      <c r="M199" s="501"/>
      <c r="N199" s="501"/>
      <c r="O199" s="500"/>
    </row>
    <row r="200" spans="1:15" x14ac:dyDescent="0.25">
      <c r="A200" s="22">
        <v>22</v>
      </c>
      <c r="B200" s="189" t="s">
        <v>1471</v>
      </c>
      <c r="C200" s="225" t="s">
        <v>28</v>
      </c>
      <c r="D200" s="226">
        <v>1</v>
      </c>
      <c r="E200" s="226">
        <v>3</v>
      </c>
      <c r="F200" s="227">
        <v>5000</v>
      </c>
      <c r="G200" s="25">
        <f t="shared" si="109"/>
        <v>15000</v>
      </c>
      <c r="H200" s="268">
        <f t="shared" si="106"/>
        <v>25.43062525430625</v>
      </c>
      <c r="I200" s="642">
        <f t="shared" si="111"/>
        <v>450</v>
      </c>
      <c r="J200" s="642">
        <f t="shared" si="114"/>
        <v>450</v>
      </c>
      <c r="K200" s="642">
        <f t="shared" si="112"/>
        <v>15000</v>
      </c>
      <c r="L200" s="12"/>
      <c r="M200" s="12"/>
      <c r="N200" s="12"/>
      <c r="O200" s="500"/>
    </row>
    <row r="201" spans="1:15" x14ac:dyDescent="0.25">
      <c r="A201" s="22">
        <v>23</v>
      </c>
      <c r="B201" s="189" t="s">
        <v>1472</v>
      </c>
      <c r="C201" s="225" t="s">
        <v>28</v>
      </c>
      <c r="D201" s="226">
        <v>1</v>
      </c>
      <c r="E201" s="226">
        <v>3</v>
      </c>
      <c r="F201" s="227">
        <v>5000</v>
      </c>
      <c r="G201" s="25">
        <f t="shared" si="109"/>
        <v>15000</v>
      </c>
      <c r="H201" s="268">
        <f t="shared" si="106"/>
        <v>25.43062525430625</v>
      </c>
      <c r="I201" s="642">
        <f t="shared" si="111"/>
        <v>450</v>
      </c>
      <c r="J201" s="642">
        <f t="shared" si="114"/>
        <v>450</v>
      </c>
      <c r="K201" s="642">
        <f t="shared" si="112"/>
        <v>15000</v>
      </c>
      <c r="L201" s="12"/>
      <c r="M201" s="12"/>
      <c r="N201" s="12"/>
      <c r="O201" s="500"/>
    </row>
    <row r="202" spans="1:15" x14ac:dyDescent="0.25">
      <c r="A202" s="188">
        <v>24</v>
      </c>
      <c r="B202" s="189" t="s">
        <v>320</v>
      </c>
      <c r="C202" s="225" t="s">
        <v>28</v>
      </c>
      <c r="D202" s="226">
        <v>1</v>
      </c>
      <c r="E202" s="226">
        <v>3</v>
      </c>
      <c r="F202" s="227">
        <v>5000</v>
      </c>
      <c r="G202" s="227">
        <f t="shared" si="109"/>
        <v>15000</v>
      </c>
      <c r="H202" s="268">
        <f t="shared" si="106"/>
        <v>25.43062525430625</v>
      </c>
      <c r="I202" s="642">
        <f t="shared" si="111"/>
        <v>450</v>
      </c>
      <c r="J202" s="642">
        <f t="shared" si="114"/>
        <v>450</v>
      </c>
      <c r="K202" s="642">
        <f t="shared" si="112"/>
        <v>15000</v>
      </c>
      <c r="L202" s="501"/>
      <c r="M202" s="501"/>
      <c r="N202" s="501"/>
      <c r="O202" s="500"/>
    </row>
    <row r="203" spans="1:15" x14ac:dyDescent="0.25">
      <c r="A203" s="188">
        <v>25</v>
      </c>
      <c r="B203" s="189" t="s">
        <v>321</v>
      </c>
      <c r="C203" s="225" t="s">
        <v>28</v>
      </c>
      <c r="D203" s="226">
        <v>1</v>
      </c>
      <c r="E203" s="226">
        <v>3</v>
      </c>
      <c r="F203" s="227">
        <v>5000</v>
      </c>
      <c r="G203" s="227">
        <f t="shared" si="109"/>
        <v>15000</v>
      </c>
      <c r="H203" s="268">
        <f t="shared" si="106"/>
        <v>25.43062525430625</v>
      </c>
      <c r="I203" s="642">
        <f t="shared" si="111"/>
        <v>450</v>
      </c>
      <c r="J203" s="642">
        <f t="shared" si="114"/>
        <v>450</v>
      </c>
      <c r="K203" s="642">
        <f t="shared" si="112"/>
        <v>15000</v>
      </c>
      <c r="L203" s="501"/>
      <c r="M203" s="501"/>
      <c r="N203" s="501"/>
      <c r="O203" s="500"/>
    </row>
    <row r="204" spans="1:15" x14ac:dyDescent="0.25">
      <c r="A204" s="188">
        <v>26</v>
      </c>
      <c r="B204" s="189" t="s">
        <v>1360</v>
      </c>
      <c r="C204" s="225" t="s">
        <v>28</v>
      </c>
      <c r="D204" s="226">
        <v>3</v>
      </c>
      <c r="E204" s="226">
        <v>3</v>
      </c>
      <c r="F204" s="227">
        <v>12500</v>
      </c>
      <c r="G204" s="227">
        <f t="shared" si="109"/>
        <v>112500</v>
      </c>
      <c r="H204" s="268">
        <f t="shared" si="106"/>
        <v>190.72968940729689</v>
      </c>
      <c r="I204" s="642">
        <f t="shared" si="111"/>
        <v>3375</v>
      </c>
      <c r="J204" s="642">
        <f>1050*D204</f>
        <v>3150</v>
      </c>
      <c r="K204" s="642">
        <f t="shared" si="112"/>
        <v>37500</v>
      </c>
      <c r="L204" s="501"/>
      <c r="M204" s="501"/>
      <c r="N204" s="501"/>
      <c r="O204" s="500"/>
    </row>
    <row r="205" spans="1:15" x14ac:dyDescent="0.25">
      <c r="A205" s="188">
        <v>27</v>
      </c>
      <c r="B205" s="189" t="s">
        <v>756</v>
      </c>
      <c r="C205" s="225" t="s">
        <v>28</v>
      </c>
      <c r="D205" s="226">
        <v>3</v>
      </c>
      <c r="E205" s="226">
        <v>5</v>
      </c>
      <c r="F205" s="227">
        <v>25000</v>
      </c>
      <c r="G205" s="227">
        <f t="shared" si="109"/>
        <v>375000</v>
      </c>
      <c r="H205" s="268">
        <f t="shared" si="106"/>
        <v>635.76563135765628</v>
      </c>
      <c r="I205" s="642">
        <f t="shared" si="111"/>
        <v>11250</v>
      </c>
      <c r="J205" s="642">
        <f>1900*D205</f>
        <v>5700</v>
      </c>
      <c r="K205" s="642">
        <f t="shared" si="112"/>
        <v>125000</v>
      </c>
      <c r="L205" s="501"/>
      <c r="M205" s="501"/>
      <c r="N205" s="501"/>
      <c r="O205" s="500"/>
    </row>
    <row r="206" spans="1:15" x14ac:dyDescent="0.25">
      <c r="A206" s="188">
        <v>28</v>
      </c>
      <c r="B206" s="26" t="s">
        <v>271</v>
      </c>
      <c r="C206" s="23" t="s">
        <v>28</v>
      </c>
      <c r="D206" s="24">
        <v>2</v>
      </c>
      <c r="E206" s="24">
        <v>3</v>
      </c>
      <c r="F206" s="25">
        <v>0</v>
      </c>
      <c r="G206" s="227">
        <f t="shared" si="109"/>
        <v>0</v>
      </c>
      <c r="H206" s="268">
        <f t="shared" si="106"/>
        <v>0</v>
      </c>
      <c r="I206" s="642">
        <f t="shared" si="111"/>
        <v>0</v>
      </c>
      <c r="J206" s="642">
        <v>0</v>
      </c>
      <c r="K206" s="642">
        <f t="shared" si="112"/>
        <v>0</v>
      </c>
      <c r="L206" s="501"/>
      <c r="M206" s="501"/>
      <c r="N206" s="501"/>
      <c r="O206" s="500"/>
    </row>
    <row r="207" spans="1:15" x14ac:dyDescent="0.25">
      <c r="A207" s="188">
        <v>29</v>
      </c>
      <c r="B207" s="189" t="s">
        <v>757</v>
      </c>
      <c r="C207" s="225" t="s">
        <v>28</v>
      </c>
      <c r="D207" s="226">
        <v>1</v>
      </c>
      <c r="E207" s="24">
        <v>3</v>
      </c>
      <c r="F207" s="227">
        <v>3000</v>
      </c>
      <c r="G207" s="227">
        <f t="shared" si="109"/>
        <v>9000</v>
      </c>
      <c r="H207" s="268">
        <f t="shared" si="106"/>
        <v>15.258375152583751</v>
      </c>
      <c r="I207" s="642">
        <f t="shared" si="111"/>
        <v>270</v>
      </c>
      <c r="J207" s="642">
        <f>350*D207</f>
        <v>350</v>
      </c>
      <c r="K207" s="642">
        <f t="shared" si="112"/>
        <v>9000</v>
      </c>
      <c r="L207" s="501"/>
      <c r="M207" s="501"/>
      <c r="N207" s="501"/>
      <c r="O207" s="500"/>
    </row>
    <row r="208" spans="1:15" x14ac:dyDescent="0.25">
      <c r="A208" s="188">
        <v>30</v>
      </c>
      <c r="B208" s="189" t="s">
        <v>86</v>
      </c>
      <c r="C208" s="225" t="s">
        <v>28</v>
      </c>
      <c r="D208" s="226">
        <f>SUM(D179:D207)</f>
        <v>41</v>
      </c>
      <c r="E208" s="24">
        <v>3</v>
      </c>
      <c r="F208" s="227">
        <v>6500</v>
      </c>
      <c r="G208" s="227">
        <f t="shared" si="109"/>
        <v>799500</v>
      </c>
      <c r="H208" s="268">
        <f t="shared" si="106"/>
        <v>1355.4523260545232</v>
      </c>
      <c r="I208" s="642">
        <v>0</v>
      </c>
      <c r="J208" s="642">
        <v>0</v>
      </c>
      <c r="K208" s="642">
        <v>0</v>
      </c>
      <c r="L208" s="501"/>
      <c r="M208" s="501"/>
      <c r="N208" s="501"/>
      <c r="O208" s="500"/>
    </row>
    <row r="209" spans="1:15" x14ac:dyDescent="0.25">
      <c r="A209" s="188">
        <v>31</v>
      </c>
      <c r="B209" s="189" t="s">
        <v>759</v>
      </c>
      <c r="C209" s="225" t="s">
        <v>90</v>
      </c>
      <c r="D209" s="226">
        <v>30</v>
      </c>
      <c r="E209" s="24">
        <v>3</v>
      </c>
      <c r="F209" s="227">
        <v>800</v>
      </c>
      <c r="G209" s="227">
        <f t="shared" si="109"/>
        <v>72000</v>
      </c>
      <c r="H209" s="268">
        <f t="shared" si="106"/>
        <v>122.06700122067001</v>
      </c>
      <c r="I209" s="642">
        <v>0</v>
      </c>
      <c r="J209" s="642">
        <v>0</v>
      </c>
      <c r="K209" s="642">
        <v>0</v>
      </c>
      <c r="L209" s="501"/>
      <c r="M209" s="501"/>
      <c r="N209" s="501"/>
      <c r="O209" s="500"/>
    </row>
    <row r="210" spans="1:15" x14ac:dyDescent="0.25">
      <c r="A210" s="188">
        <v>32</v>
      </c>
      <c r="B210" s="189" t="s">
        <v>1281</v>
      </c>
      <c r="C210" s="225" t="s">
        <v>28</v>
      </c>
      <c r="D210" s="226">
        <v>18</v>
      </c>
      <c r="E210" s="226">
        <v>2</v>
      </c>
      <c r="F210" s="227">
        <v>1500</v>
      </c>
      <c r="G210" s="227">
        <f t="shared" si="109"/>
        <v>54000</v>
      </c>
      <c r="H210" s="268">
        <f t="shared" si="106"/>
        <v>91.550250915502502</v>
      </c>
      <c r="I210" s="642">
        <v>0</v>
      </c>
      <c r="J210" s="642">
        <v>0</v>
      </c>
      <c r="K210" s="642">
        <v>0</v>
      </c>
      <c r="L210" s="501"/>
      <c r="M210" s="501"/>
      <c r="N210" s="501"/>
      <c r="O210" s="500"/>
    </row>
    <row r="211" spans="1:15" ht="16.5" thickBot="1" x14ac:dyDescent="0.3">
      <c r="A211" s="265">
        <v>33</v>
      </c>
      <c r="B211" s="26" t="s">
        <v>273</v>
      </c>
      <c r="C211" s="23" t="s">
        <v>29</v>
      </c>
      <c r="D211" s="24">
        <v>50</v>
      </c>
      <c r="E211" s="24">
        <v>3</v>
      </c>
      <c r="F211" s="25">
        <v>800</v>
      </c>
      <c r="G211" s="227">
        <f t="shared" si="109"/>
        <v>120000</v>
      </c>
      <c r="H211" s="268">
        <f t="shared" si="106"/>
        <v>203.44500203445</v>
      </c>
      <c r="I211" s="642">
        <v>0</v>
      </c>
      <c r="J211" s="642">
        <v>0</v>
      </c>
      <c r="K211" s="642">
        <v>0</v>
      </c>
      <c r="L211" s="501"/>
      <c r="M211" s="501"/>
      <c r="N211" s="501"/>
      <c r="O211" s="500"/>
    </row>
    <row r="212" spans="1:15" ht="18.75" thickBot="1" x14ac:dyDescent="0.3">
      <c r="A212" s="376"/>
      <c r="B212" s="342" t="s">
        <v>1399</v>
      </c>
      <c r="C212" s="377"/>
      <c r="D212" s="377"/>
      <c r="E212" s="377"/>
      <c r="F212" s="378"/>
      <c r="G212" s="379">
        <f>SUM(G179:G211)</f>
        <v>2184000</v>
      </c>
      <c r="H212" s="268">
        <f>SUM(H179:H211)</f>
        <v>3702.6990370269905</v>
      </c>
      <c r="I212" s="263">
        <f>SUM(I179:I211)</f>
        <v>34155</v>
      </c>
      <c r="J212" s="263">
        <f>SUM(J179:J211)</f>
        <v>25400</v>
      </c>
      <c r="K212" s="501"/>
      <c r="L212" s="501"/>
      <c r="M212" s="501"/>
      <c r="N212" s="501"/>
      <c r="O212" s="500"/>
    </row>
    <row r="213" spans="1:15" x14ac:dyDescent="0.25">
      <c r="A213" s="188"/>
      <c r="B213" s="189" t="s">
        <v>401</v>
      </c>
      <c r="C213" s="225"/>
      <c r="D213" s="226"/>
      <c r="E213" s="225"/>
      <c r="F213" s="227"/>
      <c r="G213" s="227"/>
      <c r="H213" s="268"/>
      <c r="I213" s="501"/>
      <c r="J213" s="501"/>
      <c r="K213" s="501"/>
      <c r="L213" s="501"/>
      <c r="M213" s="501"/>
      <c r="N213" s="501"/>
      <c r="O213" s="500"/>
    </row>
    <row r="214" spans="1:15" x14ac:dyDescent="0.25">
      <c r="A214" s="188">
        <v>1</v>
      </c>
      <c r="B214" s="189" t="s">
        <v>1217</v>
      </c>
      <c r="C214" s="225" t="s">
        <v>28</v>
      </c>
      <c r="D214" s="226">
        <v>4</v>
      </c>
      <c r="E214" s="225">
        <v>3</v>
      </c>
      <c r="F214" s="227">
        <v>3000</v>
      </c>
      <c r="G214" s="227">
        <f t="shared" ref="G214:G235" si="115">D214*E214*F214</f>
        <v>36000</v>
      </c>
      <c r="H214" s="268">
        <f t="shared" ref="H214:H235" si="116">G214/589.84</f>
        <v>61.033500610335004</v>
      </c>
      <c r="I214" s="642">
        <f t="shared" ref="I214:I235" si="117">G214*0.03</f>
        <v>1080</v>
      </c>
      <c r="J214" s="642">
        <f>350*D214</f>
        <v>1400</v>
      </c>
      <c r="K214" s="642">
        <f t="shared" ref="K214:K235" si="118">G214/D214</f>
        <v>9000</v>
      </c>
      <c r="L214" s="501"/>
      <c r="M214" s="501"/>
      <c r="N214" s="501"/>
      <c r="O214" s="500"/>
    </row>
    <row r="215" spans="1:15" x14ac:dyDescent="0.25">
      <c r="A215" s="188">
        <v>2</v>
      </c>
      <c r="B215" s="189" t="s">
        <v>1218</v>
      </c>
      <c r="C215" s="225" t="s">
        <v>28</v>
      </c>
      <c r="D215" s="226">
        <v>4</v>
      </c>
      <c r="E215" s="225">
        <v>3</v>
      </c>
      <c r="F215" s="227">
        <v>3000</v>
      </c>
      <c r="G215" s="227">
        <f t="shared" si="115"/>
        <v>36000</v>
      </c>
      <c r="H215" s="268">
        <f t="shared" si="116"/>
        <v>61.033500610335004</v>
      </c>
      <c r="I215" s="642">
        <f t="shared" si="117"/>
        <v>1080</v>
      </c>
      <c r="J215" s="642">
        <f t="shared" ref="J215:J234" si="119">350*D215</f>
        <v>1400</v>
      </c>
      <c r="K215" s="642">
        <f t="shared" si="118"/>
        <v>9000</v>
      </c>
      <c r="L215" s="501"/>
      <c r="M215" s="501"/>
      <c r="N215" s="501"/>
      <c r="O215" s="500"/>
    </row>
    <row r="216" spans="1:15" x14ac:dyDescent="0.25">
      <c r="A216" s="188">
        <v>3</v>
      </c>
      <c r="B216" s="189" t="s">
        <v>1219</v>
      </c>
      <c r="C216" s="225" t="s">
        <v>28</v>
      </c>
      <c r="D216" s="226">
        <v>4</v>
      </c>
      <c r="E216" s="225">
        <v>3</v>
      </c>
      <c r="F216" s="227">
        <v>3000</v>
      </c>
      <c r="G216" s="227">
        <f t="shared" si="115"/>
        <v>36000</v>
      </c>
      <c r="H216" s="268">
        <f t="shared" si="116"/>
        <v>61.033500610335004</v>
      </c>
      <c r="I216" s="642">
        <f t="shared" si="117"/>
        <v>1080</v>
      </c>
      <c r="J216" s="642">
        <f t="shared" si="119"/>
        <v>1400</v>
      </c>
      <c r="K216" s="642">
        <f t="shared" si="118"/>
        <v>9000</v>
      </c>
      <c r="L216" s="501"/>
      <c r="M216" s="501"/>
      <c r="N216" s="501"/>
      <c r="O216" s="500"/>
    </row>
    <row r="217" spans="1:15" x14ac:dyDescent="0.25">
      <c r="A217" s="188">
        <v>4</v>
      </c>
      <c r="B217" s="189" t="s">
        <v>1220</v>
      </c>
      <c r="C217" s="225" t="s">
        <v>28</v>
      </c>
      <c r="D217" s="226">
        <v>8</v>
      </c>
      <c r="E217" s="225">
        <v>3</v>
      </c>
      <c r="F217" s="227">
        <v>3000</v>
      </c>
      <c r="G217" s="227">
        <f t="shared" si="115"/>
        <v>72000</v>
      </c>
      <c r="H217" s="268">
        <f t="shared" si="116"/>
        <v>122.06700122067001</v>
      </c>
      <c r="I217" s="642">
        <f t="shared" si="117"/>
        <v>2160</v>
      </c>
      <c r="J217" s="642">
        <f t="shared" si="119"/>
        <v>2800</v>
      </c>
      <c r="K217" s="642">
        <f t="shared" si="118"/>
        <v>9000</v>
      </c>
      <c r="L217" s="501"/>
      <c r="M217" s="501"/>
      <c r="N217" s="501"/>
      <c r="O217" s="500"/>
    </row>
    <row r="218" spans="1:15" x14ac:dyDescent="0.25">
      <c r="A218" s="188">
        <v>5</v>
      </c>
      <c r="B218" s="189" t="s">
        <v>1221</v>
      </c>
      <c r="C218" s="225" t="s">
        <v>28</v>
      </c>
      <c r="D218" s="226">
        <v>16</v>
      </c>
      <c r="E218" s="225">
        <v>3</v>
      </c>
      <c r="F218" s="227">
        <v>3000</v>
      </c>
      <c r="G218" s="227">
        <f t="shared" si="115"/>
        <v>144000</v>
      </c>
      <c r="H218" s="268">
        <f t="shared" si="116"/>
        <v>244.13400244134002</v>
      </c>
      <c r="I218" s="642">
        <f t="shared" si="117"/>
        <v>4320</v>
      </c>
      <c r="J218" s="642">
        <f t="shared" si="119"/>
        <v>5600</v>
      </c>
      <c r="K218" s="642">
        <f t="shared" si="118"/>
        <v>9000</v>
      </c>
      <c r="L218" s="501"/>
      <c r="M218" s="501"/>
      <c r="N218" s="501"/>
      <c r="O218" s="500"/>
    </row>
    <row r="219" spans="1:15" x14ac:dyDescent="0.25">
      <c r="A219" s="188">
        <v>6</v>
      </c>
      <c r="B219" s="189" t="s">
        <v>42</v>
      </c>
      <c r="C219" s="225" t="s">
        <v>28</v>
      </c>
      <c r="D219" s="226">
        <v>10</v>
      </c>
      <c r="E219" s="225">
        <v>3</v>
      </c>
      <c r="F219" s="227">
        <v>3000</v>
      </c>
      <c r="G219" s="227">
        <f t="shared" si="115"/>
        <v>90000</v>
      </c>
      <c r="H219" s="268">
        <f t="shared" si="116"/>
        <v>152.5837515258375</v>
      </c>
      <c r="I219" s="642">
        <f t="shared" si="117"/>
        <v>2700</v>
      </c>
      <c r="J219" s="642">
        <f t="shared" si="119"/>
        <v>3500</v>
      </c>
      <c r="K219" s="642">
        <f t="shared" si="118"/>
        <v>9000</v>
      </c>
      <c r="L219" s="501"/>
      <c r="M219" s="501"/>
      <c r="N219" s="501"/>
      <c r="O219" s="500"/>
    </row>
    <row r="220" spans="1:15" x14ac:dyDescent="0.25">
      <c r="A220" s="188">
        <v>7</v>
      </c>
      <c r="B220" s="189" t="s">
        <v>1148</v>
      </c>
      <c r="C220" s="225" t="s">
        <v>28</v>
      </c>
      <c r="D220" s="226">
        <v>6</v>
      </c>
      <c r="E220" s="225">
        <v>3</v>
      </c>
      <c r="F220" s="227">
        <v>3000</v>
      </c>
      <c r="G220" s="227">
        <f t="shared" si="115"/>
        <v>54000</v>
      </c>
      <c r="H220" s="268">
        <f t="shared" si="116"/>
        <v>91.550250915502502</v>
      </c>
      <c r="I220" s="642">
        <f t="shared" si="117"/>
        <v>1620</v>
      </c>
      <c r="J220" s="642">
        <f t="shared" si="119"/>
        <v>2100</v>
      </c>
      <c r="K220" s="642">
        <f t="shared" si="118"/>
        <v>9000</v>
      </c>
      <c r="L220" s="501"/>
      <c r="M220" s="501"/>
      <c r="N220" s="501"/>
      <c r="O220" s="500"/>
    </row>
    <row r="221" spans="1:15" x14ac:dyDescent="0.25">
      <c r="A221" s="188">
        <v>8</v>
      </c>
      <c r="B221" s="189" t="s">
        <v>1152</v>
      </c>
      <c r="C221" s="225" t="s">
        <v>28</v>
      </c>
      <c r="D221" s="226">
        <v>6</v>
      </c>
      <c r="E221" s="225">
        <v>3</v>
      </c>
      <c r="F221" s="227">
        <v>3000</v>
      </c>
      <c r="G221" s="227">
        <f t="shared" si="115"/>
        <v>54000</v>
      </c>
      <c r="H221" s="268">
        <f t="shared" si="116"/>
        <v>91.550250915502502</v>
      </c>
      <c r="I221" s="642">
        <f t="shared" si="117"/>
        <v>1620</v>
      </c>
      <c r="J221" s="642">
        <f t="shared" si="119"/>
        <v>2100</v>
      </c>
      <c r="K221" s="642">
        <f t="shared" si="118"/>
        <v>9000</v>
      </c>
      <c r="L221" s="501"/>
      <c r="M221" s="501"/>
      <c r="N221" s="501"/>
      <c r="O221" s="500"/>
    </row>
    <row r="222" spans="1:15" x14ac:dyDescent="0.25">
      <c r="A222" s="188">
        <v>9</v>
      </c>
      <c r="B222" s="189" t="s">
        <v>1222</v>
      </c>
      <c r="C222" s="225" t="s">
        <v>28</v>
      </c>
      <c r="D222" s="226">
        <v>12</v>
      </c>
      <c r="E222" s="225">
        <v>3</v>
      </c>
      <c r="F222" s="227">
        <v>3000</v>
      </c>
      <c r="G222" s="227">
        <f t="shared" si="115"/>
        <v>108000</v>
      </c>
      <c r="H222" s="268">
        <f t="shared" si="116"/>
        <v>183.100501831005</v>
      </c>
      <c r="I222" s="642">
        <f t="shared" si="117"/>
        <v>3240</v>
      </c>
      <c r="J222" s="642">
        <f t="shared" si="119"/>
        <v>4200</v>
      </c>
      <c r="K222" s="642">
        <f t="shared" si="118"/>
        <v>9000</v>
      </c>
      <c r="L222" s="501"/>
      <c r="M222" s="501"/>
      <c r="N222" s="501"/>
      <c r="O222" s="500"/>
    </row>
    <row r="223" spans="1:15" x14ac:dyDescent="0.25">
      <c r="A223" s="188">
        <v>10</v>
      </c>
      <c r="B223" s="189" t="s">
        <v>1223</v>
      </c>
      <c r="C223" s="225" t="s">
        <v>28</v>
      </c>
      <c r="D223" s="226">
        <v>4</v>
      </c>
      <c r="E223" s="225">
        <v>3</v>
      </c>
      <c r="F223" s="227">
        <v>3000</v>
      </c>
      <c r="G223" s="227">
        <f t="shared" si="115"/>
        <v>36000</v>
      </c>
      <c r="H223" s="268">
        <f t="shared" si="116"/>
        <v>61.033500610335004</v>
      </c>
      <c r="I223" s="642">
        <f t="shared" si="117"/>
        <v>1080</v>
      </c>
      <c r="J223" s="642">
        <f t="shared" si="119"/>
        <v>1400</v>
      </c>
      <c r="K223" s="642">
        <f t="shared" si="118"/>
        <v>9000</v>
      </c>
      <c r="L223" s="501"/>
      <c r="M223" s="501"/>
      <c r="N223" s="501"/>
      <c r="O223" s="500"/>
    </row>
    <row r="224" spans="1:15" x14ac:dyDescent="0.25">
      <c r="A224" s="188">
        <v>11</v>
      </c>
      <c r="B224" s="189" t="s">
        <v>1224</v>
      </c>
      <c r="C224" s="225" t="s">
        <v>28</v>
      </c>
      <c r="D224" s="226">
        <v>4</v>
      </c>
      <c r="E224" s="225">
        <v>3</v>
      </c>
      <c r="F224" s="227">
        <v>3000</v>
      </c>
      <c r="G224" s="227">
        <f t="shared" si="115"/>
        <v>36000</v>
      </c>
      <c r="H224" s="268">
        <f t="shared" si="116"/>
        <v>61.033500610335004</v>
      </c>
      <c r="I224" s="642">
        <f t="shared" si="117"/>
        <v>1080</v>
      </c>
      <c r="J224" s="642">
        <f t="shared" si="119"/>
        <v>1400</v>
      </c>
      <c r="K224" s="642">
        <f t="shared" si="118"/>
        <v>9000</v>
      </c>
      <c r="L224" s="501"/>
      <c r="M224" s="501"/>
      <c r="N224" s="501"/>
      <c r="O224" s="500"/>
    </row>
    <row r="225" spans="1:15" x14ac:dyDescent="0.25">
      <c r="A225" s="188">
        <v>12</v>
      </c>
      <c r="B225" s="189" t="s">
        <v>1168</v>
      </c>
      <c r="C225" s="225" t="s">
        <v>28</v>
      </c>
      <c r="D225" s="226">
        <v>16</v>
      </c>
      <c r="E225" s="225">
        <v>3</v>
      </c>
      <c r="F225" s="227">
        <v>3000</v>
      </c>
      <c r="G225" s="227">
        <f t="shared" si="115"/>
        <v>144000</v>
      </c>
      <c r="H225" s="268">
        <f t="shared" si="116"/>
        <v>244.13400244134002</v>
      </c>
      <c r="I225" s="642">
        <f t="shared" si="117"/>
        <v>4320</v>
      </c>
      <c r="J225" s="642">
        <f t="shared" si="119"/>
        <v>5600</v>
      </c>
      <c r="K225" s="642">
        <f t="shared" si="118"/>
        <v>9000</v>
      </c>
      <c r="L225" s="501"/>
      <c r="M225" s="501"/>
      <c r="N225" s="501"/>
      <c r="O225" s="500"/>
    </row>
    <row r="226" spans="1:15" x14ac:dyDescent="0.25">
      <c r="A226" s="188">
        <v>13</v>
      </c>
      <c r="B226" s="189" t="s">
        <v>1172</v>
      </c>
      <c r="C226" s="225" t="s">
        <v>28</v>
      </c>
      <c r="D226" s="226">
        <v>2</v>
      </c>
      <c r="E226" s="225">
        <v>3</v>
      </c>
      <c r="F226" s="227">
        <v>3000</v>
      </c>
      <c r="G226" s="227">
        <f t="shared" si="115"/>
        <v>18000</v>
      </c>
      <c r="H226" s="268">
        <f t="shared" si="116"/>
        <v>30.516750305167502</v>
      </c>
      <c r="I226" s="642">
        <f t="shared" si="117"/>
        <v>540</v>
      </c>
      <c r="J226" s="642">
        <f t="shared" si="119"/>
        <v>700</v>
      </c>
      <c r="K226" s="642">
        <f t="shared" si="118"/>
        <v>9000</v>
      </c>
      <c r="L226" s="501"/>
      <c r="M226" s="501"/>
      <c r="N226" s="501"/>
      <c r="O226" s="500"/>
    </row>
    <row r="227" spans="1:15" x14ac:dyDescent="0.25">
      <c r="A227" s="188">
        <v>14</v>
      </c>
      <c r="B227" s="189" t="s">
        <v>1225</v>
      </c>
      <c r="C227" s="225" t="s">
        <v>28</v>
      </c>
      <c r="D227" s="226">
        <v>4</v>
      </c>
      <c r="E227" s="225">
        <v>3</v>
      </c>
      <c r="F227" s="227">
        <v>3000</v>
      </c>
      <c r="G227" s="227">
        <f t="shared" si="115"/>
        <v>36000</v>
      </c>
      <c r="H227" s="268">
        <f t="shared" si="116"/>
        <v>61.033500610335004</v>
      </c>
      <c r="I227" s="642">
        <f t="shared" si="117"/>
        <v>1080</v>
      </c>
      <c r="J227" s="642">
        <f t="shared" si="119"/>
        <v>1400</v>
      </c>
      <c r="K227" s="642">
        <f t="shared" si="118"/>
        <v>9000</v>
      </c>
      <c r="L227" s="501"/>
      <c r="M227" s="501"/>
      <c r="N227" s="501"/>
      <c r="O227" s="500"/>
    </row>
    <row r="228" spans="1:15" x14ac:dyDescent="0.25">
      <c r="A228" s="188">
        <v>15</v>
      </c>
      <c r="B228" s="189" t="s">
        <v>1226</v>
      </c>
      <c r="C228" s="225" t="s">
        <v>28</v>
      </c>
      <c r="D228" s="226">
        <v>8</v>
      </c>
      <c r="E228" s="225">
        <v>3</v>
      </c>
      <c r="F228" s="227">
        <v>3000</v>
      </c>
      <c r="G228" s="227">
        <f t="shared" si="115"/>
        <v>72000</v>
      </c>
      <c r="H228" s="268">
        <f t="shared" si="116"/>
        <v>122.06700122067001</v>
      </c>
      <c r="I228" s="642">
        <f t="shared" si="117"/>
        <v>2160</v>
      </c>
      <c r="J228" s="642">
        <f t="shared" si="119"/>
        <v>2800</v>
      </c>
      <c r="K228" s="642">
        <f t="shared" si="118"/>
        <v>9000</v>
      </c>
      <c r="L228" s="501"/>
      <c r="M228" s="501"/>
      <c r="N228" s="501"/>
      <c r="O228" s="500"/>
    </row>
    <row r="229" spans="1:15" x14ac:dyDescent="0.25">
      <c r="A229" s="188">
        <v>16</v>
      </c>
      <c r="B229" s="189" t="s">
        <v>1227</v>
      </c>
      <c r="C229" s="225" t="s">
        <v>28</v>
      </c>
      <c r="D229" s="226">
        <v>16</v>
      </c>
      <c r="E229" s="225">
        <v>3</v>
      </c>
      <c r="F229" s="227">
        <v>3000</v>
      </c>
      <c r="G229" s="227">
        <f t="shared" si="115"/>
        <v>144000</v>
      </c>
      <c r="H229" s="268">
        <f t="shared" si="116"/>
        <v>244.13400244134002</v>
      </c>
      <c r="I229" s="642">
        <f t="shared" si="117"/>
        <v>4320</v>
      </c>
      <c r="J229" s="642">
        <f t="shared" si="119"/>
        <v>5600</v>
      </c>
      <c r="K229" s="642">
        <f t="shared" si="118"/>
        <v>9000</v>
      </c>
      <c r="L229" s="501"/>
      <c r="M229" s="501"/>
      <c r="N229" s="501"/>
      <c r="O229" s="500"/>
    </row>
    <row r="230" spans="1:15" x14ac:dyDescent="0.25">
      <c r="A230" s="188">
        <v>17</v>
      </c>
      <c r="B230" s="189" t="s">
        <v>1228</v>
      </c>
      <c r="C230" s="225" t="s">
        <v>28</v>
      </c>
      <c r="D230" s="226">
        <v>8</v>
      </c>
      <c r="E230" s="225">
        <v>3</v>
      </c>
      <c r="F230" s="227">
        <v>3000</v>
      </c>
      <c r="G230" s="227">
        <f t="shared" si="115"/>
        <v>72000</v>
      </c>
      <c r="H230" s="268">
        <f t="shared" si="116"/>
        <v>122.06700122067001</v>
      </c>
      <c r="I230" s="642">
        <f t="shared" si="117"/>
        <v>2160</v>
      </c>
      <c r="J230" s="642">
        <f t="shared" si="119"/>
        <v>2800</v>
      </c>
      <c r="K230" s="642">
        <f t="shared" si="118"/>
        <v>9000</v>
      </c>
      <c r="L230" s="501"/>
      <c r="M230" s="501"/>
      <c r="N230" s="501"/>
      <c r="O230" s="500"/>
    </row>
    <row r="231" spans="1:15" x14ac:dyDescent="0.25">
      <c r="A231" s="188">
        <v>18</v>
      </c>
      <c r="B231" s="189" t="s">
        <v>1229</v>
      </c>
      <c r="C231" s="225" t="s">
        <v>28</v>
      </c>
      <c r="D231" s="226">
        <v>4</v>
      </c>
      <c r="E231" s="225">
        <v>3</v>
      </c>
      <c r="F231" s="227">
        <v>3000</v>
      </c>
      <c r="G231" s="227">
        <f t="shared" si="115"/>
        <v>36000</v>
      </c>
      <c r="H231" s="268">
        <f t="shared" si="116"/>
        <v>61.033500610335004</v>
      </c>
      <c r="I231" s="642">
        <f t="shared" si="117"/>
        <v>1080</v>
      </c>
      <c r="J231" s="642">
        <f t="shared" si="119"/>
        <v>1400</v>
      </c>
      <c r="K231" s="642">
        <f t="shared" si="118"/>
        <v>9000</v>
      </c>
      <c r="L231" s="501"/>
      <c r="M231" s="501"/>
      <c r="N231" s="501"/>
      <c r="O231" s="500"/>
    </row>
    <row r="232" spans="1:15" x14ac:dyDescent="0.25">
      <c r="A232" s="188">
        <v>19</v>
      </c>
      <c r="B232" s="189" t="s">
        <v>1230</v>
      </c>
      <c r="C232" s="225" t="s">
        <v>28</v>
      </c>
      <c r="D232" s="226">
        <v>4</v>
      </c>
      <c r="E232" s="225">
        <v>3</v>
      </c>
      <c r="F232" s="227">
        <v>3000</v>
      </c>
      <c r="G232" s="227">
        <f t="shared" si="115"/>
        <v>36000</v>
      </c>
      <c r="H232" s="268">
        <f t="shared" si="116"/>
        <v>61.033500610335004</v>
      </c>
      <c r="I232" s="642">
        <f t="shared" si="117"/>
        <v>1080</v>
      </c>
      <c r="J232" s="642">
        <f t="shared" si="119"/>
        <v>1400</v>
      </c>
      <c r="K232" s="642">
        <f t="shared" si="118"/>
        <v>9000</v>
      </c>
      <c r="L232" s="501"/>
      <c r="M232" s="501"/>
      <c r="N232" s="501"/>
      <c r="O232" s="500"/>
    </row>
    <row r="233" spans="1:15" x14ac:dyDescent="0.25">
      <c r="A233" s="188">
        <v>20</v>
      </c>
      <c r="B233" s="189" t="s">
        <v>43</v>
      </c>
      <c r="C233" s="225" t="s">
        <v>28</v>
      </c>
      <c r="D233" s="226">
        <v>19</v>
      </c>
      <c r="E233" s="225">
        <v>3</v>
      </c>
      <c r="F233" s="227">
        <v>3000</v>
      </c>
      <c r="G233" s="227">
        <f t="shared" si="115"/>
        <v>171000</v>
      </c>
      <c r="H233" s="268">
        <f t="shared" si="116"/>
        <v>289.90912789909129</v>
      </c>
      <c r="I233" s="642">
        <f t="shared" si="117"/>
        <v>5130</v>
      </c>
      <c r="J233" s="642">
        <f t="shared" si="119"/>
        <v>6650</v>
      </c>
      <c r="K233" s="642">
        <f t="shared" si="118"/>
        <v>9000</v>
      </c>
      <c r="L233" s="501"/>
      <c r="M233" s="501"/>
      <c r="N233" s="501"/>
      <c r="O233" s="500"/>
    </row>
    <row r="234" spans="1:15" x14ac:dyDescent="0.25">
      <c r="A234" s="188">
        <v>21</v>
      </c>
      <c r="B234" s="189" t="s">
        <v>409</v>
      </c>
      <c r="C234" s="225" t="s">
        <v>28</v>
      </c>
      <c r="D234" s="226">
        <v>19</v>
      </c>
      <c r="E234" s="225">
        <v>3</v>
      </c>
      <c r="F234" s="227">
        <v>2000</v>
      </c>
      <c r="G234" s="227">
        <f t="shared" si="115"/>
        <v>114000</v>
      </c>
      <c r="H234" s="268">
        <f t="shared" si="116"/>
        <v>193.27275193272752</v>
      </c>
      <c r="I234" s="642">
        <f t="shared" si="117"/>
        <v>3420</v>
      </c>
      <c r="J234" s="642">
        <f t="shared" si="119"/>
        <v>6650</v>
      </c>
      <c r="K234" s="642">
        <f t="shared" si="118"/>
        <v>6000</v>
      </c>
      <c r="L234" s="501"/>
      <c r="M234" s="501"/>
      <c r="N234" s="501"/>
      <c r="O234" s="500"/>
    </row>
    <row r="235" spans="1:15" ht="16.5" thickBot="1" x14ac:dyDescent="0.3">
      <c r="A235" s="188">
        <v>22</v>
      </c>
      <c r="B235" s="189" t="s">
        <v>44</v>
      </c>
      <c r="C235" s="225" t="s">
        <v>28</v>
      </c>
      <c r="D235" s="226">
        <f>SUM(D214:D234)</f>
        <v>178</v>
      </c>
      <c r="E235" s="225">
        <v>3</v>
      </c>
      <c r="F235" s="227">
        <v>3000</v>
      </c>
      <c r="G235" s="227">
        <f t="shared" si="115"/>
        <v>1602000</v>
      </c>
      <c r="H235" s="268">
        <f t="shared" si="116"/>
        <v>2715.9907771599078</v>
      </c>
      <c r="I235" s="642">
        <f t="shared" si="117"/>
        <v>48060</v>
      </c>
      <c r="J235" s="642">
        <f>350*D235</f>
        <v>62300</v>
      </c>
      <c r="K235" s="642">
        <f t="shared" si="118"/>
        <v>9000</v>
      </c>
      <c r="L235" s="501"/>
      <c r="M235" s="501"/>
      <c r="N235" s="501"/>
      <c r="O235" s="500"/>
    </row>
    <row r="236" spans="1:15" ht="18.75" thickBot="1" x14ac:dyDescent="0.3">
      <c r="A236" s="261"/>
      <c r="B236" s="342" t="s">
        <v>1399</v>
      </c>
      <c r="C236" s="261"/>
      <c r="D236" s="261"/>
      <c r="E236" s="261"/>
      <c r="F236" s="263"/>
      <c r="G236" s="263">
        <f>SUM(G214:G235)</f>
        <v>3147000</v>
      </c>
      <c r="H236" s="268">
        <f>SUM(H214:H235)</f>
        <v>5335.345178353452</v>
      </c>
      <c r="I236" s="263">
        <f>SUM(I214:I235)</f>
        <v>94410</v>
      </c>
      <c r="J236" s="263">
        <f>SUM(J214:J235)</f>
        <v>124600</v>
      </c>
      <c r="K236" s="501"/>
      <c r="L236" s="501"/>
      <c r="M236" s="501"/>
      <c r="N236" s="501"/>
      <c r="O236" s="500"/>
    </row>
    <row r="237" spans="1:15" x14ac:dyDescent="0.25">
      <c r="A237" s="188"/>
      <c r="B237" s="189" t="s">
        <v>402</v>
      </c>
      <c r="C237" s="225"/>
      <c r="D237" s="226"/>
      <c r="E237" s="225"/>
      <c r="F237" s="227"/>
      <c r="G237" s="227"/>
      <c r="H237" s="268"/>
      <c r="I237" s="501"/>
      <c r="J237" s="501"/>
      <c r="K237" s="501"/>
      <c r="L237" s="501"/>
      <c r="M237" s="501"/>
      <c r="N237" s="501"/>
      <c r="O237" s="500"/>
    </row>
    <row r="238" spans="1:15" x14ac:dyDescent="0.25">
      <c r="A238" s="188">
        <v>1</v>
      </c>
      <c r="B238" s="189" t="s">
        <v>1267</v>
      </c>
      <c r="C238" s="225" t="s">
        <v>28</v>
      </c>
      <c r="D238" s="226">
        <v>2</v>
      </c>
      <c r="E238" s="225">
        <v>1</v>
      </c>
      <c r="F238" s="227">
        <v>2500</v>
      </c>
      <c r="G238" s="227">
        <f t="shared" ref="G238:G258" si="120">D238*E238*F238</f>
        <v>5000</v>
      </c>
      <c r="H238" s="268">
        <f t="shared" ref="H238:H258" si="121">G238/589.84</f>
        <v>8.47687508476875</v>
      </c>
      <c r="I238" s="642">
        <f t="shared" ref="I238:I258" si="122">G238*0.03</f>
        <v>150</v>
      </c>
      <c r="J238" s="642">
        <f>125*D238</f>
        <v>250</v>
      </c>
      <c r="K238" s="642">
        <f t="shared" ref="K238:K258" si="123">G238/D238</f>
        <v>2500</v>
      </c>
      <c r="L238" s="501"/>
      <c r="M238" s="501"/>
      <c r="N238" s="501"/>
      <c r="O238" s="500"/>
    </row>
    <row r="239" spans="1:15" x14ac:dyDescent="0.25">
      <c r="A239" s="188">
        <v>2</v>
      </c>
      <c r="B239" s="189" t="s">
        <v>1268</v>
      </c>
      <c r="C239" s="225" t="s">
        <v>28</v>
      </c>
      <c r="D239" s="226">
        <v>2</v>
      </c>
      <c r="E239" s="225">
        <v>1</v>
      </c>
      <c r="F239" s="227">
        <v>2500</v>
      </c>
      <c r="G239" s="227">
        <f t="shared" si="120"/>
        <v>5000</v>
      </c>
      <c r="H239" s="268">
        <f t="shared" si="121"/>
        <v>8.47687508476875</v>
      </c>
      <c r="I239" s="642">
        <f t="shared" si="122"/>
        <v>150</v>
      </c>
      <c r="J239" s="642">
        <f t="shared" ref="J239:J256" si="124">125*D239</f>
        <v>250</v>
      </c>
      <c r="K239" s="642">
        <f t="shared" si="123"/>
        <v>2500</v>
      </c>
      <c r="L239" s="501"/>
      <c r="M239" s="501"/>
      <c r="N239" s="501"/>
      <c r="O239" s="500"/>
    </row>
    <row r="240" spans="1:15" x14ac:dyDescent="0.25">
      <c r="A240" s="188">
        <v>3</v>
      </c>
      <c r="B240" s="189" t="s">
        <v>1269</v>
      </c>
      <c r="C240" s="225" t="s">
        <v>28</v>
      </c>
      <c r="D240" s="226">
        <v>2</v>
      </c>
      <c r="E240" s="225">
        <v>1</v>
      </c>
      <c r="F240" s="227">
        <v>2500</v>
      </c>
      <c r="G240" s="227">
        <f t="shared" si="120"/>
        <v>5000</v>
      </c>
      <c r="H240" s="268">
        <f t="shared" si="121"/>
        <v>8.47687508476875</v>
      </c>
      <c r="I240" s="642">
        <f t="shared" si="122"/>
        <v>150</v>
      </c>
      <c r="J240" s="642">
        <f t="shared" si="124"/>
        <v>250</v>
      </c>
      <c r="K240" s="642">
        <f t="shared" si="123"/>
        <v>2500</v>
      </c>
      <c r="L240" s="501"/>
      <c r="M240" s="501"/>
      <c r="N240" s="501"/>
      <c r="O240" s="500"/>
    </row>
    <row r="241" spans="1:15" x14ac:dyDescent="0.25">
      <c r="A241" s="188">
        <v>4</v>
      </c>
      <c r="B241" s="189" t="s">
        <v>1270</v>
      </c>
      <c r="C241" s="225" t="s">
        <v>28</v>
      </c>
      <c r="D241" s="226">
        <v>4</v>
      </c>
      <c r="E241" s="225">
        <v>1</v>
      </c>
      <c r="F241" s="227">
        <v>2500</v>
      </c>
      <c r="G241" s="227">
        <f t="shared" si="120"/>
        <v>10000</v>
      </c>
      <c r="H241" s="268">
        <f t="shared" si="121"/>
        <v>16.9537501695375</v>
      </c>
      <c r="I241" s="642">
        <f t="shared" si="122"/>
        <v>300</v>
      </c>
      <c r="J241" s="642">
        <f t="shared" si="124"/>
        <v>500</v>
      </c>
      <c r="K241" s="642">
        <f t="shared" si="123"/>
        <v>2500</v>
      </c>
      <c r="L241" s="501"/>
      <c r="M241" s="501"/>
      <c r="N241" s="501"/>
      <c r="O241" s="500"/>
    </row>
    <row r="242" spans="1:15" x14ac:dyDescent="0.25">
      <c r="A242" s="188">
        <v>5</v>
      </c>
      <c r="B242" s="189" t="s">
        <v>1271</v>
      </c>
      <c r="C242" s="225" t="s">
        <v>28</v>
      </c>
      <c r="D242" s="226">
        <v>8</v>
      </c>
      <c r="E242" s="225">
        <v>1</v>
      </c>
      <c r="F242" s="227">
        <v>2500</v>
      </c>
      <c r="G242" s="227">
        <f t="shared" si="120"/>
        <v>20000</v>
      </c>
      <c r="H242" s="268">
        <f t="shared" si="121"/>
        <v>33.907500339075</v>
      </c>
      <c r="I242" s="642">
        <f t="shared" si="122"/>
        <v>600</v>
      </c>
      <c r="J242" s="642">
        <f t="shared" si="124"/>
        <v>1000</v>
      </c>
      <c r="K242" s="642">
        <f t="shared" si="123"/>
        <v>2500</v>
      </c>
      <c r="L242" s="501"/>
      <c r="M242" s="501"/>
      <c r="N242" s="501"/>
      <c r="O242" s="500"/>
    </row>
    <row r="243" spans="1:15" x14ac:dyDescent="0.25">
      <c r="A243" s="188">
        <v>6</v>
      </c>
      <c r="B243" s="189" t="s">
        <v>47</v>
      </c>
      <c r="C243" s="225" t="s">
        <v>28</v>
      </c>
      <c r="D243" s="226">
        <v>5</v>
      </c>
      <c r="E243" s="225">
        <v>1</v>
      </c>
      <c r="F243" s="227">
        <v>2500</v>
      </c>
      <c r="G243" s="227">
        <f t="shared" si="120"/>
        <v>12500</v>
      </c>
      <c r="H243" s="268">
        <f>G243/589.84</f>
        <v>21.192187711921875</v>
      </c>
      <c r="I243" s="642">
        <f t="shared" si="122"/>
        <v>375</v>
      </c>
      <c r="J243" s="642">
        <f t="shared" si="124"/>
        <v>625</v>
      </c>
      <c r="K243" s="642">
        <f t="shared" si="123"/>
        <v>2500</v>
      </c>
      <c r="L243" s="501"/>
      <c r="M243" s="501"/>
      <c r="N243" s="501"/>
      <c r="O243" s="500"/>
    </row>
    <row r="244" spans="1:15" x14ac:dyDescent="0.25">
      <c r="A244" s="188">
        <v>7</v>
      </c>
      <c r="B244" s="189" t="s">
        <v>1272</v>
      </c>
      <c r="C244" s="225" t="s">
        <v>28</v>
      </c>
      <c r="D244" s="226">
        <v>3</v>
      </c>
      <c r="E244" s="225">
        <v>1</v>
      </c>
      <c r="F244" s="227">
        <v>2500</v>
      </c>
      <c r="G244" s="227">
        <f t="shared" si="120"/>
        <v>7500</v>
      </c>
      <c r="H244" s="268">
        <f t="shared" si="121"/>
        <v>12.715312627153125</v>
      </c>
      <c r="I244" s="642">
        <f t="shared" si="122"/>
        <v>225</v>
      </c>
      <c r="J244" s="642">
        <f t="shared" si="124"/>
        <v>375</v>
      </c>
      <c r="K244" s="642">
        <f t="shared" si="123"/>
        <v>2500</v>
      </c>
      <c r="L244" s="501"/>
      <c r="M244" s="501"/>
      <c r="N244" s="501"/>
      <c r="O244" s="500"/>
    </row>
    <row r="245" spans="1:15" x14ac:dyDescent="0.25">
      <c r="A245" s="188">
        <v>8</v>
      </c>
      <c r="B245" s="189" t="s">
        <v>1273</v>
      </c>
      <c r="C245" s="225" t="s">
        <v>28</v>
      </c>
      <c r="D245" s="226">
        <v>3</v>
      </c>
      <c r="E245" s="225">
        <v>1</v>
      </c>
      <c r="F245" s="227">
        <v>2500</v>
      </c>
      <c r="G245" s="227">
        <f t="shared" si="120"/>
        <v>7500</v>
      </c>
      <c r="H245" s="268">
        <f t="shared" si="121"/>
        <v>12.715312627153125</v>
      </c>
      <c r="I245" s="642">
        <f t="shared" si="122"/>
        <v>225</v>
      </c>
      <c r="J245" s="642">
        <f t="shared" si="124"/>
        <v>375</v>
      </c>
      <c r="K245" s="642">
        <f t="shared" si="123"/>
        <v>2500</v>
      </c>
      <c r="L245" s="501"/>
      <c r="M245" s="501"/>
      <c r="N245" s="501"/>
      <c r="O245" s="500"/>
    </row>
    <row r="246" spans="1:15" x14ac:dyDescent="0.25">
      <c r="A246" s="188">
        <v>9</v>
      </c>
      <c r="B246" s="189" t="s">
        <v>1274</v>
      </c>
      <c r="C246" s="225" t="s">
        <v>28</v>
      </c>
      <c r="D246" s="226">
        <v>6</v>
      </c>
      <c r="E246" s="225">
        <v>1</v>
      </c>
      <c r="F246" s="227">
        <v>2500</v>
      </c>
      <c r="G246" s="227">
        <f t="shared" si="120"/>
        <v>15000</v>
      </c>
      <c r="H246" s="268">
        <f t="shared" si="121"/>
        <v>25.43062525430625</v>
      </c>
      <c r="I246" s="642">
        <f t="shared" si="122"/>
        <v>450</v>
      </c>
      <c r="J246" s="642">
        <f t="shared" si="124"/>
        <v>750</v>
      </c>
      <c r="K246" s="642">
        <f t="shared" si="123"/>
        <v>2500</v>
      </c>
      <c r="L246" s="501"/>
      <c r="M246" s="501"/>
      <c r="N246" s="501"/>
      <c r="O246" s="500"/>
    </row>
    <row r="247" spans="1:15" x14ac:dyDescent="0.25">
      <c r="A247" s="188">
        <v>10</v>
      </c>
      <c r="B247" s="189" t="s">
        <v>1275</v>
      </c>
      <c r="C247" s="225" t="s">
        <v>28</v>
      </c>
      <c r="D247" s="226">
        <v>2</v>
      </c>
      <c r="E247" s="225">
        <v>1</v>
      </c>
      <c r="F247" s="227">
        <v>2500</v>
      </c>
      <c r="G247" s="227">
        <f t="shared" si="120"/>
        <v>5000</v>
      </c>
      <c r="H247" s="268">
        <f t="shared" si="121"/>
        <v>8.47687508476875</v>
      </c>
      <c r="I247" s="642">
        <f t="shared" si="122"/>
        <v>150</v>
      </c>
      <c r="J247" s="642">
        <f t="shared" si="124"/>
        <v>250</v>
      </c>
      <c r="K247" s="642">
        <f t="shared" si="123"/>
        <v>2500</v>
      </c>
      <c r="L247" s="501"/>
      <c r="M247" s="501"/>
      <c r="N247" s="501"/>
      <c r="O247" s="500"/>
    </row>
    <row r="248" spans="1:15" x14ac:dyDescent="0.25">
      <c r="A248" s="188">
        <v>11</v>
      </c>
      <c r="B248" s="189" t="s">
        <v>1276</v>
      </c>
      <c r="C248" s="225" t="s">
        <v>28</v>
      </c>
      <c r="D248" s="226">
        <v>2</v>
      </c>
      <c r="E248" s="225">
        <v>1</v>
      </c>
      <c r="F248" s="227">
        <v>2500</v>
      </c>
      <c r="G248" s="227">
        <f t="shared" si="120"/>
        <v>5000</v>
      </c>
      <c r="H248" s="268">
        <f t="shared" si="121"/>
        <v>8.47687508476875</v>
      </c>
      <c r="I248" s="642">
        <f t="shared" si="122"/>
        <v>150</v>
      </c>
      <c r="J248" s="642">
        <f t="shared" si="124"/>
        <v>250</v>
      </c>
      <c r="K248" s="642">
        <f t="shared" si="123"/>
        <v>2500</v>
      </c>
      <c r="L248" s="501"/>
      <c r="M248" s="501"/>
      <c r="N248" s="501"/>
      <c r="O248" s="500"/>
    </row>
    <row r="249" spans="1:15" x14ac:dyDescent="0.25">
      <c r="A249" s="188">
        <v>12</v>
      </c>
      <c r="B249" s="189" t="s">
        <v>1277</v>
      </c>
      <c r="C249" s="225" t="s">
        <v>28</v>
      </c>
      <c r="D249" s="226">
        <v>8</v>
      </c>
      <c r="E249" s="225">
        <v>1</v>
      </c>
      <c r="F249" s="227">
        <v>2500</v>
      </c>
      <c r="G249" s="227">
        <f t="shared" si="120"/>
        <v>20000</v>
      </c>
      <c r="H249" s="268">
        <f t="shared" si="121"/>
        <v>33.907500339075</v>
      </c>
      <c r="I249" s="642">
        <f t="shared" si="122"/>
        <v>600</v>
      </c>
      <c r="J249" s="642">
        <f t="shared" si="124"/>
        <v>1000</v>
      </c>
      <c r="K249" s="642">
        <f t="shared" si="123"/>
        <v>2500</v>
      </c>
      <c r="L249" s="501"/>
      <c r="M249" s="501"/>
      <c r="N249" s="501"/>
      <c r="O249" s="500"/>
    </row>
    <row r="250" spans="1:15" x14ac:dyDescent="0.25">
      <c r="A250" s="188">
        <v>13</v>
      </c>
      <c r="B250" s="189" t="s">
        <v>1173</v>
      </c>
      <c r="C250" s="225" t="s">
        <v>28</v>
      </c>
      <c r="D250" s="226">
        <v>1</v>
      </c>
      <c r="E250" s="225">
        <v>1</v>
      </c>
      <c r="F250" s="227">
        <v>2500</v>
      </c>
      <c r="G250" s="227">
        <f t="shared" si="120"/>
        <v>2500</v>
      </c>
      <c r="H250" s="268">
        <f t="shared" si="121"/>
        <v>4.238437542384375</v>
      </c>
      <c r="I250" s="642">
        <f t="shared" si="122"/>
        <v>75</v>
      </c>
      <c r="J250" s="642">
        <f t="shared" si="124"/>
        <v>125</v>
      </c>
      <c r="K250" s="642">
        <f t="shared" si="123"/>
        <v>2500</v>
      </c>
      <c r="L250" s="501"/>
      <c r="M250" s="501"/>
      <c r="N250" s="501"/>
      <c r="O250" s="500"/>
    </row>
    <row r="251" spans="1:15" x14ac:dyDescent="0.25">
      <c r="A251" s="188">
        <v>14</v>
      </c>
      <c r="B251" s="189" t="s">
        <v>1177</v>
      </c>
      <c r="C251" s="225" t="s">
        <v>28</v>
      </c>
      <c r="D251" s="226">
        <v>2</v>
      </c>
      <c r="E251" s="225">
        <v>1</v>
      </c>
      <c r="F251" s="227">
        <v>2500</v>
      </c>
      <c r="G251" s="227">
        <f t="shared" si="120"/>
        <v>5000</v>
      </c>
      <c r="H251" s="268">
        <f t="shared" si="121"/>
        <v>8.47687508476875</v>
      </c>
      <c r="I251" s="642">
        <f t="shared" si="122"/>
        <v>150</v>
      </c>
      <c r="J251" s="642">
        <f t="shared" si="124"/>
        <v>250</v>
      </c>
      <c r="K251" s="642">
        <f t="shared" si="123"/>
        <v>2500</v>
      </c>
      <c r="L251" s="501"/>
      <c r="M251" s="501"/>
      <c r="N251" s="501"/>
      <c r="O251" s="500"/>
    </row>
    <row r="252" spans="1:15" x14ac:dyDescent="0.25">
      <c r="A252" s="188">
        <v>15</v>
      </c>
      <c r="B252" s="189" t="s">
        <v>1181</v>
      </c>
      <c r="C252" s="225" t="s">
        <v>28</v>
      </c>
      <c r="D252" s="226">
        <v>4</v>
      </c>
      <c r="E252" s="225">
        <v>1</v>
      </c>
      <c r="F252" s="227">
        <v>2500</v>
      </c>
      <c r="G252" s="227">
        <f t="shared" si="120"/>
        <v>10000</v>
      </c>
      <c r="H252" s="268">
        <f t="shared" si="121"/>
        <v>16.9537501695375</v>
      </c>
      <c r="I252" s="642">
        <f t="shared" si="122"/>
        <v>300</v>
      </c>
      <c r="J252" s="642">
        <f t="shared" si="124"/>
        <v>500</v>
      </c>
      <c r="K252" s="642">
        <f t="shared" si="123"/>
        <v>2500</v>
      </c>
      <c r="L252" s="501"/>
      <c r="M252" s="501"/>
      <c r="N252" s="501"/>
      <c r="O252" s="500"/>
    </row>
    <row r="253" spans="1:15" x14ac:dyDescent="0.25">
      <c r="A253" s="188">
        <v>16</v>
      </c>
      <c r="B253" s="189" t="s">
        <v>1185</v>
      </c>
      <c r="C253" s="225" t="s">
        <v>28</v>
      </c>
      <c r="D253" s="226">
        <v>8</v>
      </c>
      <c r="E253" s="225">
        <v>1</v>
      </c>
      <c r="F253" s="227">
        <v>2500</v>
      </c>
      <c r="G253" s="227">
        <f t="shared" si="120"/>
        <v>20000</v>
      </c>
      <c r="H253" s="268">
        <f t="shared" si="121"/>
        <v>33.907500339075</v>
      </c>
      <c r="I253" s="642">
        <f t="shared" si="122"/>
        <v>600</v>
      </c>
      <c r="J253" s="642">
        <f t="shared" si="124"/>
        <v>1000</v>
      </c>
      <c r="K253" s="642">
        <f t="shared" si="123"/>
        <v>2500</v>
      </c>
      <c r="L253" s="501"/>
      <c r="M253" s="501"/>
      <c r="N253" s="501"/>
      <c r="O253" s="500"/>
    </row>
    <row r="254" spans="1:15" x14ac:dyDescent="0.25">
      <c r="A254" s="188">
        <v>17</v>
      </c>
      <c r="B254" s="189" t="s">
        <v>1189</v>
      </c>
      <c r="C254" s="225" t="s">
        <v>28</v>
      </c>
      <c r="D254" s="226">
        <v>4</v>
      </c>
      <c r="E254" s="225">
        <v>1</v>
      </c>
      <c r="F254" s="227">
        <v>2500</v>
      </c>
      <c r="G254" s="227">
        <f t="shared" si="120"/>
        <v>10000</v>
      </c>
      <c r="H254" s="268">
        <f t="shared" si="121"/>
        <v>16.9537501695375</v>
      </c>
      <c r="I254" s="642">
        <f t="shared" si="122"/>
        <v>300</v>
      </c>
      <c r="J254" s="642">
        <f t="shared" si="124"/>
        <v>500</v>
      </c>
      <c r="K254" s="642">
        <f t="shared" si="123"/>
        <v>2500</v>
      </c>
      <c r="L254" s="501"/>
      <c r="M254" s="501"/>
      <c r="N254" s="501"/>
      <c r="O254" s="500"/>
    </row>
    <row r="255" spans="1:15" x14ac:dyDescent="0.25">
      <c r="A255" s="188">
        <v>18</v>
      </c>
      <c r="B255" s="189" t="s">
        <v>1193</v>
      </c>
      <c r="C255" s="225" t="s">
        <v>28</v>
      </c>
      <c r="D255" s="226">
        <v>2</v>
      </c>
      <c r="E255" s="225">
        <v>1</v>
      </c>
      <c r="F255" s="227">
        <v>2500</v>
      </c>
      <c r="G255" s="227">
        <f t="shared" si="120"/>
        <v>5000</v>
      </c>
      <c r="H255" s="268">
        <f t="shared" si="121"/>
        <v>8.47687508476875</v>
      </c>
      <c r="I255" s="642">
        <f t="shared" si="122"/>
        <v>150</v>
      </c>
      <c r="J255" s="642">
        <f t="shared" si="124"/>
        <v>250</v>
      </c>
      <c r="K255" s="642">
        <f t="shared" si="123"/>
        <v>2500</v>
      </c>
      <c r="L255" s="501"/>
      <c r="M255" s="501"/>
      <c r="N255" s="501"/>
      <c r="O255" s="500"/>
    </row>
    <row r="256" spans="1:15" x14ac:dyDescent="0.25">
      <c r="A256" s="188">
        <v>19</v>
      </c>
      <c r="B256" s="189" t="s">
        <v>1197</v>
      </c>
      <c r="C256" s="225" t="s">
        <v>28</v>
      </c>
      <c r="D256" s="226">
        <v>2</v>
      </c>
      <c r="E256" s="225">
        <v>1</v>
      </c>
      <c r="F256" s="227">
        <v>2500</v>
      </c>
      <c r="G256" s="227">
        <f t="shared" si="120"/>
        <v>5000</v>
      </c>
      <c r="H256" s="268">
        <f t="shared" si="121"/>
        <v>8.47687508476875</v>
      </c>
      <c r="I256" s="642">
        <f t="shared" si="122"/>
        <v>150</v>
      </c>
      <c r="J256" s="642">
        <f t="shared" si="124"/>
        <v>250</v>
      </c>
      <c r="K256" s="642">
        <f t="shared" si="123"/>
        <v>2500</v>
      </c>
      <c r="L256" s="501"/>
      <c r="M256" s="501"/>
      <c r="N256" s="501"/>
      <c r="O256" s="500"/>
    </row>
    <row r="257" spans="1:15" x14ac:dyDescent="0.25">
      <c r="A257" s="188">
        <v>20</v>
      </c>
      <c r="B257" s="189" t="s">
        <v>43</v>
      </c>
      <c r="C257" s="225" t="s">
        <v>28</v>
      </c>
      <c r="D257" s="226">
        <v>19</v>
      </c>
      <c r="E257" s="225">
        <v>1</v>
      </c>
      <c r="F257" s="227">
        <v>3000</v>
      </c>
      <c r="G257" s="227">
        <f t="shared" si="120"/>
        <v>57000</v>
      </c>
      <c r="H257" s="268">
        <f t="shared" si="121"/>
        <v>96.636375966363758</v>
      </c>
      <c r="I257" s="642">
        <f t="shared" si="122"/>
        <v>1710</v>
      </c>
      <c r="J257" s="642">
        <f>250*D257</f>
        <v>4750</v>
      </c>
      <c r="K257" s="642">
        <f t="shared" si="123"/>
        <v>3000</v>
      </c>
      <c r="L257" s="501"/>
      <c r="M257" s="501"/>
      <c r="N257" s="501"/>
      <c r="O257" s="500"/>
    </row>
    <row r="258" spans="1:15" ht="16.5" thickBot="1" x14ac:dyDescent="0.3">
      <c r="A258" s="188">
        <v>21</v>
      </c>
      <c r="B258" s="189" t="s">
        <v>48</v>
      </c>
      <c r="C258" s="225" t="s">
        <v>28</v>
      </c>
      <c r="D258" s="226">
        <f>SUM(D238:D257)</f>
        <v>89</v>
      </c>
      <c r="E258" s="225">
        <v>1</v>
      </c>
      <c r="F258" s="227">
        <v>3000</v>
      </c>
      <c r="G258" s="227">
        <f t="shared" si="120"/>
        <v>267000</v>
      </c>
      <c r="H258" s="268">
        <f t="shared" si="121"/>
        <v>452.6651295266513</v>
      </c>
      <c r="I258" s="642">
        <f t="shared" si="122"/>
        <v>8010</v>
      </c>
      <c r="J258" s="642">
        <f>250*D258</f>
        <v>22250</v>
      </c>
      <c r="K258" s="642">
        <f t="shared" si="123"/>
        <v>3000</v>
      </c>
      <c r="L258" s="501"/>
      <c r="M258" s="501"/>
      <c r="N258" s="501"/>
      <c r="O258" s="500"/>
    </row>
    <row r="259" spans="1:15" ht="18.75" thickBot="1" x14ac:dyDescent="0.3">
      <c r="A259" s="261"/>
      <c r="B259" s="342" t="s">
        <v>1399</v>
      </c>
      <c r="C259" s="261"/>
      <c r="D259" s="261"/>
      <c r="E259" s="261"/>
      <c r="F259" s="263"/>
      <c r="G259" s="263">
        <f>SUM(G238:G258)</f>
        <v>499000</v>
      </c>
      <c r="H259" s="268">
        <f>SUM(H238:H258)</f>
        <v>845.99213345992132</v>
      </c>
      <c r="I259" s="263">
        <f>SUM(I238:I258)</f>
        <v>14970</v>
      </c>
      <c r="J259" s="263">
        <f>SUM(J238:J258)</f>
        <v>35750</v>
      </c>
      <c r="K259" s="501"/>
      <c r="L259" s="501"/>
      <c r="M259" s="501"/>
      <c r="N259" s="501"/>
      <c r="O259" s="500"/>
    </row>
    <row r="260" spans="1:15" ht="19.149999999999999" customHeight="1" thickBot="1" x14ac:dyDescent="0.3">
      <c r="A260" s="780" t="s">
        <v>523</v>
      </c>
      <c r="B260" s="781"/>
      <c r="C260" s="781"/>
      <c r="D260" s="781"/>
      <c r="E260" s="783"/>
      <c r="F260" s="348"/>
      <c r="G260" s="349"/>
      <c r="H260" s="545"/>
      <c r="I260" s="501"/>
      <c r="J260" s="501"/>
      <c r="K260" s="501"/>
      <c r="L260" s="501"/>
      <c r="M260" s="501"/>
      <c r="N260" s="501"/>
      <c r="O260" s="500"/>
    </row>
    <row r="261" spans="1:15" x14ac:dyDescent="0.25">
      <c r="A261" s="188"/>
      <c r="B261" s="189" t="s">
        <v>403</v>
      </c>
      <c r="C261" s="225"/>
      <c r="D261" s="226"/>
      <c r="E261" s="225"/>
      <c r="F261" s="227"/>
      <c r="G261" s="227"/>
      <c r="H261" s="268"/>
      <c r="I261" s="501"/>
      <c r="J261" s="501"/>
      <c r="K261" s="501"/>
      <c r="L261" s="501"/>
      <c r="M261" s="501"/>
      <c r="N261" s="501"/>
      <c r="O261" s="500"/>
    </row>
    <row r="262" spans="1:15" x14ac:dyDescent="0.25">
      <c r="A262" s="188">
        <v>1</v>
      </c>
      <c r="B262" s="189" t="s">
        <v>1266</v>
      </c>
      <c r="C262" s="225" t="s">
        <v>28</v>
      </c>
      <c r="D262" s="226">
        <v>1</v>
      </c>
      <c r="E262" s="225">
        <v>1</v>
      </c>
      <c r="F262" s="227">
        <v>8000</v>
      </c>
      <c r="G262" s="227">
        <f t="shared" ref="G262:G290" si="125">D262*E262*F262</f>
        <v>8000</v>
      </c>
      <c r="H262" s="268">
        <f t="shared" ref="H262:H290" si="126">G262/589.84</f>
        <v>13.56300013563</v>
      </c>
      <c r="I262" s="642">
        <f t="shared" ref="I262:I288" si="127">G262*0.03</f>
        <v>240</v>
      </c>
      <c r="J262" s="642">
        <f>350*D262</f>
        <v>350</v>
      </c>
      <c r="K262" s="642">
        <f t="shared" ref="K262:K288" si="128">G262/D262</f>
        <v>8000</v>
      </c>
      <c r="L262" s="501"/>
      <c r="M262" s="501"/>
      <c r="N262" s="501"/>
      <c r="O262" s="500"/>
    </row>
    <row r="263" spans="1:15" x14ac:dyDescent="0.25">
      <c r="A263" s="188">
        <v>2</v>
      </c>
      <c r="B263" s="189" t="s">
        <v>1248</v>
      </c>
      <c r="C263" s="225" t="s">
        <v>28</v>
      </c>
      <c r="D263" s="226">
        <v>1</v>
      </c>
      <c r="E263" s="225">
        <v>2</v>
      </c>
      <c r="F263" s="227">
        <v>8000</v>
      </c>
      <c r="G263" s="227">
        <f t="shared" si="125"/>
        <v>16000</v>
      </c>
      <c r="H263" s="268">
        <f t="shared" si="126"/>
        <v>27.126000271260001</v>
      </c>
      <c r="I263" s="642">
        <f t="shared" si="127"/>
        <v>480</v>
      </c>
      <c r="J263" s="642">
        <f>550*D263</f>
        <v>550</v>
      </c>
      <c r="K263" s="642">
        <f t="shared" si="128"/>
        <v>16000</v>
      </c>
      <c r="L263" s="501"/>
      <c r="M263" s="501"/>
      <c r="N263" s="501"/>
      <c r="O263" s="500"/>
    </row>
    <row r="264" spans="1:15" x14ac:dyDescent="0.25">
      <c r="A264" s="188">
        <v>3</v>
      </c>
      <c r="B264" s="189" t="s">
        <v>1249</v>
      </c>
      <c r="C264" s="225" t="s">
        <v>28</v>
      </c>
      <c r="D264" s="226">
        <v>1</v>
      </c>
      <c r="E264" s="225">
        <v>1</v>
      </c>
      <c r="F264" s="227">
        <v>8000</v>
      </c>
      <c r="G264" s="227">
        <f t="shared" si="125"/>
        <v>8000</v>
      </c>
      <c r="H264" s="268">
        <f t="shared" si="126"/>
        <v>13.56300013563</v>
      </c>
      <c r="I264" s="642">
        <f t="shared" si="127"/>
        <v>240</v>
      </c>
      <c r="J264" s="642">
        <f t="shared" ref="J264:J272" si="129">350*D264</f>
        <v>350</v>
      </c>
      <c r="K264" s="642">
        <f t="shared" si="128"/>
        <v>8000</v>
      </c>
      <c r="L264" s="501"/>
      <c r="M264" s="501"/>
      <c r="N264" s="501"/>
      <c r="O264" s="500"/>
    </row>
    <row r="265" spans="1:15" x14ac:dyDescent="0.25">
      <c r="A265" s="188">
        <v>4</v>
      </c>
      <c r="B265" s="189" t="s">
        <v>1250</v>
      </c>
      <c r="C265" s="225" t="s">
        <v>28</v>
      </c>
      <c r="D265" s="226">
        <v>1</v>
      </c>
      <c r="E265" s="225">
        <v>1</v>
      </c>
      <c r="F265" s="227">
        <v>8000</v>
      </c>
      <c r="G265" s="227">
        <f t="shared" si="125"/>
        <v>8000</v>
      </c>
      <c r="H265" s="268">
        <f t="shared" si="126"/>
        <v>13.56300013563</v>
      </c>
      <c r="I265" s="642">
        <f t="shared" si="127"/>
        <v>240</v>
      </c>
      <c r="J265" s="642">
        <f t="shared" si="129"/>
        <v>350</v>
      </c>
      <c r="K265" s="642">
        <f t="shared" si="128"/>
        <v>8000</v>
      </c>
      <c r="L265" s="501"/>
      <c r="M265" s="501"/>
      <c r="N265" s="501"/>
      <c r="O265" s="500"/>
    </row>
    <row r="266" spans="1:15" x14ac:dyDescent="0.25">
      <c r="A266" s="188">
        <v>5</v>
      </c>
      <c r="B266" s="189" t="s">
        <v>1251</v>
      </c>
      <c r="C266" s="225" t="s">
        <v>28</v>
      </c>
      <c r="D266" s="226">
        <v>1</v>
      </c>
      <c r="E266" s="225">
        <v>1</v>
      </c>
      <c r="F266" s="227">
        <v>8000</v>
      </c>
      <c r="G266" s="227">
        <f t="shared" si="125"/>
        <v>8000</v>
      </c>
      <c r="H266" s="268">
        <f t="shared" si="126"/>
        <v>13.56300013563</v>
      </c>
      <c r="I266" s="642">
        <f t="shared" si="127"/>
        <v>240</v>
      </c>
      <c r="J266" s="642">
        <f t="shared" si="129"/>
        <v>350</v>
      </c>
      <c r="K266" s="642">
        <f t="shared" si="128"/>
        <v>8000</v>
      </c>
      <c r="L266" s="501"/>
      <c r="M266" s="501"/>
      <c r="N266" s="501"/>
      <c r="O266" s="500"/>
    </row>
    <row r="267" spans="1:15" x14ac:dyDescent="0.25">
      <c r="A267" s="188">
        <v>6</v>
      </c>
      <c r="B267" s="189" t="s">
        <v>1252</v>
      </c>
      <c r="C267" s="225" t="s">
        <v>28</v>
      </c>
      <c r="D267" s="226">
        <v>1</v>
      </c>
      <c r="E267" s="225">
        <v>1</v>
      </c>
      <c r="F267" s="227">
        <v>8000</v>
      </c>
      <c r="G267" s="227">
        <f t="shared" si="125"/>
        <v>8000</v>
      </c>
      <c r="H267" s="268">
        <f t="shared" si="126"/>
        <v>13.56300013563</v>
      </c>
      <c r="I267" s="642">
        <f t="shared" si="127"/>
        <v>240</v>
      </c>
      <c r="J267" s="642">
        <f t="shared" si="129"/>
        <v>350</v>
      </c>
      <c r="K267" s="642">
        <f t="shared" si="128"/>
        <v>8000</v>
      </c>
      <c r="L267" s="501"/>
      <c r="M267" s="501"/>
      <c r="N267" s="501"/>
      <c r="O267" s="500"/>
    </row>
    <row r="268" spans="1:15" x14ac:dyDescent="0.25">
      <c r="A268" s="188">
        <v>7</v>
      </c>
      <c r="B268" s="189" t="s">
        <v>1253</v>
      </c>
      <c r="C268" s="225" t="s">
        <v>28</v>
      </c>
      <c r="D268" s="226">
        <v>1</v>
      </c>
      <c r="E268" s="225">
        <v>1</v>
      </c>
      <c r="F268" s="227">
        <v>8000</v>
      </c>
      <c r="G268" s="227">
        <f t="shared" si="125"/>
        <v>8000</v>
      </c>
      <c r="H268" s="268">
        <f t="shared" si="126"/>
        <v>13.56300013563</v>
      </c>
      <c r="I268" s="642">
        <f t="shared" si="127"/>
        <v>240</v>
      </c>
      <c r="J268" s="642">
        <f t="shared" si="129"/>
        <v>350</v>
      </c>
      <c r="K268" s="642">
        <f t="shared" si="128"/>
        <v>8000</v>
      </c>
      <c r="L268" s="501"/>
      <c r="M268" s="501"/>
      <c r="N268" s="501"/>
      <c r="O268" s="500"/>
    </row>
    <row r="269" spans="1:15" x14ac:dyDescent="0.25">
      <c r="A269" s="188">
        <v>8</v>
      </c>
      <c r="B269" s="189" t="s">
        <v>1254</v>
      </c>
      <c r="C269" s="225" t="s">
        <v>28</v>
      </c>
      <c r="D269" s="226">
        <v>1</v>
      </c>
      <c r="E269" s="225">
        <v>1</v>
      </c>
      <c r="F269" s="227">
        <v>8000</v>
      </c>
      <c r="G269" s="227">
        <f t="shared" si="125"/>
        <v>8000</v>
      </c>
      <c r="H269" s="268">
        <f t="shared" si="126"/>
        <v>13.56300013563</v>
      </c>
      <c r="I269" s="642">
        <f t="shared" si="127"/>
        <v>240</v>
      </c>
      <c r="J269" s="642">
        <f t="shared" si="129"/>
        <v>350</v>
      </c>
      <c r="K269" s="642">
        <f t="shared" si="128"/>
        <v>8000</v>
      </c>
      <c r="L269" s="501"/>
      <c r="M269" s="501"/>
      <c r="N269" s="501"/>
      <c r="O269" s="500"/>
    </row>
    <row r="270" spans="1:15" x14ac:dyDescent="0.25">
      <c r="A270" s="188">
        <v>9</v>
      </c>
      <c r="B270" s="189" t="s">
        <v>1265</v>
      </c>
      <c r="C270" s="225" t="s">
        <v>28</v>
      </c>
      <c r="D270" s="226">
        <v>1</v>
      </c>
      <c r="E270" s="225">
        <v>1</v>
      </c>
      <c r="F270" s="227">
        <v>5000</v>
      </c>
      <c r="G270" s="227">
        <f t="shared" si="125"/>
        <v>5000</v>
      </c>
      <c r="H270" s="268">
        <f t="shared" si="126"/>
        <v>8.47687508476875</v>
      </c>
      <c r="I270" s="642">
        <f t="shared" si="127"/>
        <v>150</v>
      </c>
      <c r="J270" s="642">
        <f t="shared" si="129"/>
        <v>350</v>
      </c>
      <c r="K270" s="642">
        <f t="shared" si="128"/>
        <v>5000</v>
      </c>
      <c r="L270" s="501"/>
      <c r="M270" s="501"/>
      <c r="N270" s="501"/>
      <c r="O270" s="500"/>
    </row>
    <row r="271" spans="1:15" x14ac:dyDescent="0.25">
      <c r="A271" s="188">
        <v>10</v>
      </c>
      <c r="B271" s="189" t="s">
        <v>1255</v>
      </c>
      <c r="C271" s="225" t="s">
        <v>28</v>
      </c>
      <c r="D271" s="226">
        <v>1</v>
      </c>
      <c r="E271" s="225">
        <v>1</v>
      </c>
      <c r="F271" s="227">
        <v>8000</v>
      </c>
      <c r="G271" s="227">
        <f t="shared" si="125"/>
        <v>8000</v>
      </c>
      <c r="H271" s="268">
        <f t="shared" si="126"/>
        <v>13.56300013563</v>
      </c>
      <c r="I271" s="642">
        <f t="shared" si="127"/>
        <v>240</v>
      </c>
      <c r="J271" s="642">
        <f t="shared" si="129"/>
        <v>350</v>
      </c>
      <c r="K271" s="642">
        <f t="shared" si="128"/>
        <v>8000</v>
      </c>
      <c r="L271" s="501"/>
      <c r="M271" s="501"/>
      <c r="N271" s="501"/>
      <c r="O271" s="500"/>
    </row>
    <row r="272" spans="1:15" x14ac:dyDescent="0.25">
      <c r="A272" s="188">
        <v>11</v>
      </c>
      <c r="B272" s="189" t="s">
        <v>1256</v>
      </c>
      <c r="C272" s="225" t="s">
        <v>28</v>
      </c>
      <c r="D272" s="226">
        <v>1</v>
      </c>
      <c r="E272" s="225">
        <v>1</v>
      </c>
      <c r="F272" s="227">
        <v>8000</v>
      </c>
      <c r="G272" s="227">
        <f t="shared" si="125"/>
        <v>8000</v>
      </c>
      <c r="H272" s="268">
        <f t="shared" si="126"/>
        <v>13.56300013563</v>
      </c>
      <c r="I272" s="642">
        <f t="shared" si="127"/>
        <v>240</v>
      </c>
      <c r="J272" s="642">
        <f t="shared" si="129"/>
        <v>350</v>
      </c>
      <c r="K272" s="642">
        <f t="shared" si="128"/>
        <v>8000</v>
      </c>
      <c r="L272" s="501"/>
      <c r="M272" s="501"/>
      <c r="N272" s="501"/>
      <c r="O272" s="500"/>
    </row>
    <row r="273" spans="1:15" x14ac:dyDescent="0.25">
      <c r="A273" s="188">
        <v>12</v>
      </c>
      <c r="B273" s="189" t="s">
        <v>1257</v>
      </c>
      <c r="C273" s="225" t="s">
        <v>28</v>
      </c>
      <c r="D273" s="226">
        <v>1</v>
      </c>
      <c r="E273" s="225">
        <v>2</v>
      </c>
      <c r="F273" s="227">
        <v>8000</v>
      </c>
      <c r="G273" s="227">
        <f t="shared" si="125"/>
        <v>16000</v>
      </c>
      <c r="H273" s="268">
        <f t="shared" si="126"/>
        <v>27.126000271260001</v>
      </c>
      <c r="I273" s="642">
        <f t="shared" si="127"/>
        <v>480</v>
      </c>
      <c r="J273" s="642">
        <f t="shared" ref="J273:J279" si="130">550*D273</f>
        <v>550</v>
      </c>
      <c r="K273" s="642">
        <f t="shared" si="128"/>
        <v>16000</v>
      </c>
      <c r="L273" s="501"/>
      <c r="M273" s="501"/>
      <c r="N273" s="501"/>
      <c r="O273" s="500"/>
    </row>
    <row r="274" spans="1:15" x14ac:dyDescent="0.25">
      <c r="A274" s="188">
        <v>13</v>
      </c>
      <c r="B274" s="189" t="s">
        <v>1258</v>
      </c>
      <c r="C274" s="225" t="s">
        <v>28</v>
      </c>
      <c r="D274" s="226">
        <v>1</v>
      </c>
      <c r="E274" s="225">
        <v>2</v>
      </c>
      <c r="F274" s="227">
        <v>8000</v>
      </c>
      <c r="G274" s="227">
        <f t="shared" si="125"/>
        <v>16000</v>
      </c>
      <c r="H274" s="268">
        <f t="shared" si="126"/>
        <v>27.126000271260001</v>
      </c>
      <c r="I274" s="642">
        <f t="shared" si="127"/>
        <v>480</v>
      </c>
      <c r="J274" s="642">
        <f t="shared" si="130"/>
        <v>550</v>
      </c>
      <c r="K274" s="642">
        <f t="shared" si="128"/>
        <v>16000</v>
      </c>
      <c r="L274" s="501"/>
      <c r="M274" s="501"/>
      <c r="N274" s="501"/>
      <c r="O274" s="500"/>
    </row>
    <row r="275" spans="1:15" x14ac:dyDescent="0.25">
      <c r="A275" s="188">
        <v>14</v>
      </c>
      <c r="B275" s="189" t="s">
        <v>1259</v>
      </c>
      <c r="C275" s="225" t="s">
        <v>28</v>
      </c>
      <c r="D275" s="226">
        <v>1</v>
      </c>
      <c r="E275" s="225">
        <v>2</v>
      </c>
      <c r="F275" s="227">
        <v>8000</v>
      </c>
      <c r="G275" s="227">
        <f t="shared" si="125"/>
        <v>16000</v>
      </c>
      <c r="H275" s="268">
        <f t="shared" si="126"/>
        <v>27.126000271260001</v>
      </c>
      <c r="I275" s="642">
        <f t="shared" si="127"/>
        <v>480</v>
      </c>
      <c r="J275" s="642">
        <f t="shared" si="130"/>
        <v>550</v>
      </c>
      <c r="K275" s="642">
        <f t="shared" si="128"/>
        <v>16000</v>
      </c>
      <c r="L275" s="501"/>
      <c r="M275" s="501"/>
      <c r="N275" s="501"/>
      <c r="O275" s="500"/>
    </row>
    <row r="276" spans="1:15" x14ac:dyDescent="0.25">
      <c r="A276" s="188">
        <v>15</v>
      </c>
      <c r="B276" s="189" t="s">
        <v>1260</v>
      </c>
      <c r="C276" s="225" t="s">
        <v>28</v>
      </c>
      <c r="D276" s="226">
        <v>1</v>
      </c>
      <c r="E276" s="225">
        <v>1</v>
      </c>
      <c r="F276" s="227">
        <v>8000</v>
      </c>
      <c r="G276" s="227">
        <f t="shared" si="125"/>
        <v>8000</v>
      </c>
      <c r="H276" s="268">
        <f t="shared" si="126"/>
        <v>13.56300013563</v>
      </c>
      <c r="I276" s="642">
        <f t="shared" si="127"/>
        <v>240</v>
      </c>
      <c r="J276" s="642">
        <f t="shared" ref="J276" si="131">350*D276</f>
        <v>350</v>
      </c>
      <c r="K276" s="642">
        <f t="shared" si="128"/>
        <v>8000</v>
      </c>
      <c r="L276" s="501"/>
      <c r="M276" s="501"/>
      <c r="N276" s="501"/>
      <c r="O276" s="500"/>
    </row>
    <row r="277" spans="1:15" x14ac:dyDescent="0.25">
      <c r="A277" s="188">
        <v>16</v>
      </c>
      <c r="B277" s="189" t="s">
        <v>1261</v>
      </c>
      <c r="C277" s="225" t="s">
        <v>28</v>
      </c>
      <c r="D277" s="226">
        <v>1</v>
      </c>
      <c r="E277" s="225">
        <v>2</v>
      </c>
      <c r="F277" s="227">
        <v>8000</v>
      </c>
      <c r="G277" s="227">
        <f t="shared" si="125"/>
        <v>16000</v>
      </c>
      <c r="H277" s="268">
        <f t="shared" si="126"/>
        <v>27.126000271260001</v>
      </c>
      <c r="I277" s="642">
        <f t="shared" si="127"/>
        <v>480</v>
      </c>
      <c r="J277" s="642">
        <f t="shared" si="130"/>
        <v>550</v>
      </c>
      <c r="K277" s="642">
        <f t="shared" si="128"/>
        <v>16000</v>
      </c>
      <c r="L277" s="501"/>
      <c r="M277" s="501"/>
      <c r="N277" s="501"/>
      <c r="O277" s="500"/>
    </row>
    <row r="278" spans="1:15" x14ac:dyDescent="0.25">
      <c r="A278" s="188">
        <v>17</v>
      </c>
      <c r="B278" s="189" t="s">
        <v>1262</v>
      </c>
      <c r="C278" s="225" t="s">
        <v>28</v>
      </c>
      <c r="D278" s="226">
        <v>1</v>
      </c>
      <c r="E278" s="225">
        <v>2</v>
      </c>
      <c r="F278" s="227">
        <v>8000</v>
      </c>
      <c r="G278" s="227">
        <f t="shared" si="125"/>
        <v>16000</v>
      </c>
      <c r="H278" s="268">
        <f t="shared" si="126"/>
        <v>27.126000271260001</v>
      </c>
      <c r="I278" s="642">
        <f t="shared" si="127"/>
        <v>480</v>
      </c>
      <c r="J278" s="642">
        <f t="shared" si="130"/>
        <v>550</v>
      </c>
      <c r="K278" s="642">
        <f t="shared" si="128"/>
        <v>16000</v>
      </c>
      <c r="L278" s="501"/>
      <c r="M278" s="501"/>
      <c r="N278" s="501"/>
      <c r="O278" s="500"/>
    </row>
    <row r="279" spans="1:15" x14ac:dyDescent="0.25">
      <c r="A279" s="188">
        <v>18</v>
      </c>
      <c r="B279" s="189" t="s">
        <v>1263</v>
      </c>
      <c r="C279" s="225" t="s">
        <v>28</v>
      </c>
      <c r="D279" s="226">
        <v>1</v>
      </c>
      <c r="E279" s="225">
        <v>2</v>
      </c>
      <c r="F279" s="227">
        <v>8000</v>
      </c>
      <c r="G279" s="227">
        <f t="shared" si="125"/>
        <v>16000</v>
      </c>
      <c r="H279" s="268">
        <f t="shared" si="126"/>
        <v>27.126000271260001</v>
      </c>
      <c r="I279" s="642">
        <f t="shared" si="127"/>
        <v>480</v>
      </c>
      <c r="J279" s="642">
        <f t="shared" si="130"/>
        <v>550</v>
      </c>
      <c r="K279" s="642">
        <f t="shared" si="128"/>
        <v>16000</v>
      </c>
      <c r="L279" s="501"/>
      <c r="M279" s="501"/>
      <c r="N279" s="501"/>
      <c r="O279" s="500"/>
    </row>
    <row r="280" spans="1:15" x14ac:dyDescent="0.25">
      <c r="A280" s="188">
        <v>19</v>
      </c>
      <c r="B280" s="189" t="s">
        <v>1264</v>
      </c>
      <c r="C280" s="225" t="s">
        <v>28</v>
      </c>
      <c r="D280" s="226">
        <v>1</v>
      </c>
      <c r="E280" s="225">
        <v>2</v>
      </c>
      <c r="F280" s="227">
        <v>8000</v>
      </c>
      <c r="G280" s="227">
        <f t="shared" si="125"/>
        <v>16000</v>
      </c>
      <c r="H280" s="268">
        <f t="shared" si="126"/>
        <v>27.126000271260001</v>
      </c>
      <c r="I280" s="642">
        <f t="shared" si="127"/>
        <v>480</v>
      </c>
      <c r="J280" s="642">
        <f>550*D280</f>
        <v>550</v>
      </c>
      <c r="K280" s="642">
        <f t="shared" si="128"/>
        <v>16000</v>
      </c>
      <c r="L280" s="501"/>
      <c r="M280" s="501"/>
      <c r="N280" s="501"/>
      <c r="O280" s="500"/>
    </row>
    <row r="281" spans="1:15" x14ac:dyDescent="0.25">
      <c r="A281" s="188">
        <v>20</v>
      </c>
      <c r="B281" s="189" t="s">
        <v>406</v>
      </c>
      <c r="C281" s="225" t="s">
        <v>28</v>
      </c>
      <c r="D281" s="226">
        <v>1</v>
      </c>
      <c r="E281" s="225">
        <v>1</v>
      </c>
      <c r="F281" s="227">
        <v>5000</v>
      </c>
      <c r="G281" s="227">
        <f t="shared" si="125"/>
        <v>5000</v>
      </c>
      <c r="H281" s="268">
        <f t="shared" si="126"/>
        <v>8.47687508476875</v>
      </c>
      <c r="I281" s="642">
        <f t="shared" si="127"/>
        <v>150</v>
      </c>
      <c r="J281" s="642">
        <f>250*D281</f>
        <v>250</v>
      </c>
      <c r="K281" s="642">
        <f t="shared" si="128"/>
        <v>5000</v>
      </c>
      <c r="L281" s="501"/>
      <c r="M281" s="501"/>
      <c r="N281" s="501"/>
      <c r="O281" s="500"/>
    </row>
    <row r="282" spans="1:15" x14ac:dyDescent="0.25">
      <c r="A282" s="188">
        <v>21</v>
      </c>
      <c r="B282" s="189" t="s">
        <v>407</v>
      </c>
      <c r="C282" s="225" t="s">
        <v>28</v>
      </c>
      <c r="D282" s="226">
        <v>2</v>
      </c>
      <c r="E282" s="225">
        <v>1</v>
      </c>
      <c r="F282" s="227">
        <v>5000</v>
      </c>
      <c r="G282" s="227">
        <f t="shared" si="125"/>
        <v>10000</v>
      </c>
      <c r="H282" s="268">
        <f t="shared" si="126"/>
        <v>16.9537501695375</v>
      </c>
      <c r="I282" s="642">
        <f t="shared" si="127"/>
        <v>300</v>
      </c>
      <c r="J282" s="642">
        <f t="shared" ref="J282:J288" si="132">250*D282</f>
        <v>500</v>
      </c>
      <c r="K282" s="642">
        <f t="shared" si="128"/>
        <v>5000</v>
      </c>
      <c r="L282" s="501"/>
      <c r="M282" s="501"/>
      <c r="N282" s="501"/>
      <c r="O282" s="500"/>
    </row>
    <row r="283" spans="1:15" x14ac:dyDescent="0.25">
      <c r="A283" s="188">
        <v>22</v>
      </c>
      <c r="B283" s="189" t="s">
        <v>408</v>
      </c>
      <c r="C283" s="225" t="s">
        <v>28</v>
      </c>
      <c r="D283" s="226">
        <v>8</v>
      </c>
      <c r="E283" s="225">
        <v>1</v>
      </c>
      <c r="F283" s="227">
        <v>5000</v>
      </c>
      <c r="G283" s="227">
        <f t="shared" si="125"/>
        <v>40000</v>
      </c>
      <c r="H283" s="268">
        <f t="shared" si="126"/>
        <v>67.81500067815</v>
      </c>
      <c r="I283" s="642">
        <f t="shared" si="127"/>
        <v>1200</v>
      </c>
      <c r="J283" s="642">
        <f t="shared" si="132"/>
        <v>2000</v>
      </c>
      <c r="K283" s="642">
        <f t="shared" si="128"/>
        <v>5000</v>
      </c>
      <c r="L283" s="501"/>
      <c r="M283" s="501"/>
      <c r="N283" s="501"/>
      <c r="O283" s="500"/>
    </row>
    <row r="284" spans="1:15" x14ac:dyDescent="0.25">
      <c r="A284" s="188">
        <v>23</v>
      </c>
      <c r="B284" s="189" t="s">
        <v>425</v>
      </c>
      <c r="C284" s="225" t="s">
        <v>28</v>
      </c>
      <c r="D284" s="226">
        <v>2</v>
      </c>
      <c r="E284" s="225">
        <v>1</v>
      </c>
      <c r="F284" s="227">
        <v>0</v>
      </c>
      <c r="G284" s="227">
        <f t="shared" si="125"/>
        <v>0</v>
      </c>
      <c r="H284" s="268">
        <f t="shared" si="126"/>
        <v>0</v>
      </c>
      <c r="I284" s="642">
        <f t="shared" si="127"/>
        <v>0</v>
      </c>
      <c r="J284" s="642">
        <v>0</v>
      </c>
      <c r="K284" s="642">
        <f t="shared" si="128"/>
        <v>0</v>
      </c>
      <c r="L284" s="501"/>
      <c r="M284" s="501"/>
      <c r="N284" s="501"/>
      <c r="O284" s="500"/>
    </row>
    <row r="285" spans="1:15" x14ac:dyDescent="0.25">
      <c r="A285" s="188">
        <v>24</v>
      </c>
      <c r="B285" s="189" t="s">
        <v>423</v>
      </c>
      <c r="C285" s="225" t="s">
        <v>28</v>
      </c>
      <c r="D285" s="226">
        <v>1</v>
      </c>
      <c r="E285" s="225">
        <v>1</v>
      </c>
      <c r="F285" s="227">
        <v>5000</v>
      </c>
      <c r="G285" s="227">
        <f t="shared" si="125"/>
        <v>5000</v>
      </c>
      <c r="H285" s="268">
        <f t="shared" si="126"/>
        <v>8.47687508476875</v>
      </c>
      <c r="I285" s="642">
        <f t="shared" si="127"/>
        <v>150</v>
      </c>
      <c r="J285" s="642">
        <f t="shared" si="132"/>
        <v>250</v>
      </c>
      <c r="K285" s="642">
        <f t="shared" si="128"/>
        <v>5000</v>
      </c>
      <c r="L285" s="501"/>
      <c r="M285" s="501"/>
      <c r="N285" s="501"/>
      <c r="O285" s="500"/>
    </row>
    <row r="286" spans="1:15" x14ac:dyDescent="0.25">
      <c r="A286" s="188">
        <v>25</v>
      </c>
      <c r="B286" s="189" t="s">
        <v>424</v>
      </c>
      <c r="C286" s="225" t="s">
        <v>28</v>
      </c>
      <c r="D286" s="226">
        <v>1</v>
      </c>
      <c r="E286" s="225">
        <v>1</v>
      </c>
      <c r="F286" s="227">
        <v>5000</v>
      </c>
      <c r="G286" s="227">
        <f t="shared" si="125"/>
        <v>5000</v>
      </c>
      <c r="H286" s="268">
        <f t="shared" si="126"/>
        <v>8.47687508476875</v>
      </c>
      <c r="I286" s="642">
        <f t="shared" si="127"/>
        <v>150</v>
      </c>
      <c r="J286" s="642">
        <f t="shared" si="132"/>
        <v>250</v>
      </c>
      <c r="K286" s="642">
        <f t="shared" si="128"/>
        <v>5000</v>
      </c>
      <c r="L286" s="501"/>
      <c r="M286" s="501"/>
      <c r="N286" s="501"/>
      <c r="O286" s="500"/>
    </row>
    <row r="287" spans="1:15" x14ac:dyDescent="0.25">
      <c r="A287" s="188">
        <v>26</v>
      </c>
      <c r="B287" s="189" t="s">
        <v>409</v>
      </c>
      <c r="C287" s="225" t="s">
        <v>28</v>
      </c>
      <c r="D287" s="226">
        <v>1</v>
      </c>
      <c r="E287" s="225">
        <v>1</v>
      </c>
      <c r="F287" s="227">
        <v>3000</v>
      </c>
      <c r="G287" s="227">
        <f t="shared" si="125"/>
        <v>3000</v>
      </c>
      <c r="H287" s="268">
        <f t="shared" si="126"/>
        <v>5.0861250508612503</v>
      </c>
      <c r="I287" s="642">
        <f t="shared" si="127"/>
        <v>90</v>
      </c>
      <c r="J287" s="642">
        <f>250*D287</f>
        <v>250</v>
      </c>
      <c r="K287" s="642">
        <f t="shared" si="128"/>
        <v>3000</v>
      </c>
      <c r="L287" s="501"/>
      <c r="M287" s="501"/>
      <c r="N287" s="501"/>
      <c r="O287" s="500"/>
    </row>
    <row r="288" spans="1:15" x14ac:dyDescent="0.25">
      <c r="A288" s="188">
        <v>27</v>
      </c>
      <c r="B288" s="189" t="s">
        <v>426</v>
      </c>
      <c r="C288" s="225" t="s">
        <v>28</v>
      </c>
      <c r="D288" s="226">
        <f>SUM(D262:D287)</f>
        <v>35</v>
      </c>
      <c r="E288" s="225">
        <v>1</v>
      </c>
      <c r="F288" s="227">
        <v>5000</v>
      </c>
      <c r="G288" s="227">
        <f t="shared" si="125"/>
        <v>175000</v>
      </c>
      <c r="H288" s="268">
        <f t="shared" si="126"/>
        <v>296.69062796690628</v>
      </c>
      <c r="I288" s="642">
        <f t="shared" si="127"/>
        <v>5250</v>
      </c>
      <c r="J288" s="642">
        <f t="shared" si="132"/>
        <v>8750</v>
      </c>
      <c r="K288" s="642">
        <f t="shared" si="128"/>
        <v>5000</v>
      </c>
      <c r="L288" s="501"/>
      <c r="M288" s="501"/>
      <c r="N288" s="501"/>
      <c r="O288" s="500"/>
    </row>
    <row r="289" spans="1:40" x14ac:dyDescent="0.25">
      <c r="A289" s="188">
        <v>28</v>
      </c>
      <c r="B289" s="189" t="s">
        <v>410</v>
      </c>
      <c r="C289" s="225" t="s">
        <v>28</v>
      </c>
      <c r="D289" s="226">
        <v>18</v>
      </c>
      <c r="E289" s="225">
        <v>1</v>
      </c>
      <c r="F289" s="227">
        <v>1500</v>
      </c>
      <c r="G289" s="227">
        <f t="shared" si="125"/>
        <v>27000</v>
      </c>
      <c r="H289" s="268">
        <f t="shared" si="126"/>
        <v>45.775125457751251</v>
      </c>
      <c r="I289" s="642">
        <v>0</v>
      </c>
      <c r="J289" s="642">
        <v>0</v>
      </c>
      <c r="K289" s="642">
        <v>0</v>
      </c>
      <c r="L289" s="501"/>
      <c r="M289" s="501"/>
      <c r="N289" s="501"/>
      <c r="O289" s="500"/>
    </row>
    <row r="290" spans="1:40" ht="16.5" thickBot="1" x14ac:dyDescent="0.3">
      <c r="A290" s="370">
        <v>29</v>
      </c>
      <c r="B290" s="26" t="s">
        <v>273</v>
      </c>
      <c r="C290" s="39" t="s">
        <v>29</v>
      </c>
      <c r="D290" s="24">
        <v>20</v>
      </c>
      <c r="E290" s="23">
        <v>1</v>
      </c>
      <c r="F290" s="25">
        <v>800</v>
      </c>
      <c r="G290" s="227">
        <f t="shared" si="125"/>
        <v>16000</v>
      </c>
      <c r="H290" s="268">
        <f t="shared" si="126"/>
        <v>27.126000271260001</v>
      </c>
      <c r="I290" s="642">
        <v>0</v>
      </c>
      <c r="J290" s="642">
        <v>0</v>
      </c>
      <c r="K290" s="642">
        <v>0</v>
      </c>
      <c r="L290" s="501"/>
      <c r="M290" s="501"/>
      <c r="N290" s="501"/>
      <c r="O290" s="500"/>
    </row>
    <row r="291" spans="1:40" ht="19.149999999999999" customHeight="1" thickBot="1" x14ac:dyDescent="0.3">
      <c r="A291" s="780" t="s">
        <v>527</v>
      </c>
      <c r="B291" s="781"/>
      <c r="C291" s="781"/>
      <c r="D291" s="781"/>
      <c r="E291" s="783"/>
      <c r="F291" s="348"/>
      <c r="G291" s="349">
        <f>SUM(G262:G290)</f>
        <v>499000</v>
      </c>
      <c r="H291" s="545">
        <f>SUM(H262:H290)</f>
        <v>845.99213345992143</v>
      </c>
      <c r="I291" s="263">
        <f>SUM(I262:I290)</f>
        <v>13680</v>
      </c>
      <c r="J291" s="263">
        <f>SUM(J262:J290)</f>
        <v>20500</v>
      </c>
      <c r="K291" s="501"/>
      <c r="L291" s="501"/>
      <c r="M291" s="501"/>
      <c r="N291" s="501"/>
      <c r="O291" s="500"/>
    </row>
    <row r="292" spans="1:40" ht="18" x14ac:dyDescent="0.25">
      <c r="A292" s="231"/>
      <c r="B292" s="234" t="s">
        <v>1380</v>
      </c>
      <c r="C292" s="232"/>
      <c r="D292" s="232"/>
      <c r="E292" s="232"/>
      <c r="F292" s="232"/>
      <c r="G292" s="232"/>
      <c r="H292" s="268"/>
      <c r="I292" s="501"/>
      <c r="J292" s="501"/>
      <c r="K292" s="501"/>
      <c r="L292" s="501"/>
      <c r="M292" s="501"/>
      <c r="N292" s="501"/>
      <c r="O292" s="500"/>
    </row>
    <row r="293" spans="1:40" x14ac:dyDescent="0.25">
      <c r="A293" s="188"/>
      <c r="B293" s="400" t="s">
        <v>1381</v>
      </c>
      <c r="C293" s="225"/>
      <c r="D293" s="403"/>
      <c r="E293" s="225"/>
      <c r="F293" s="227"/>
      <c r="G293" s="227"/>
      <c r="H293" s="268"/>
      <c r="I293" s="501"/>
      <c r="J293" s="501"/>
      <c r="K293" s="501"/>
      <c r="L293" s="501"/>
      <c r="M293" s="501"/>
      <c r="N293" s="501"/>
      <c r="O293" s="500"/>
    </row>
    <row r="294" spans="1:40" x14ac:dyDescent="0.25">
      <c r="A294" s="188">
        <v>1</v>
      </c>
      <c r="B294" s="189" t="s">
        <v>1383</v>
      </c>
      <c r="C294" s="225" t="s">
        <v>28</v>
      </c>
      <c r="D294" s="403">
        <v>15</v>
      </c>
      <c r="E294" s="225">
        <v>1</v>
      </c>
      <c r="F294" s="227">
        <f>7500-5000</f>
        <v>2500</v>
      </c>
      <c r="G294" s="227">
        <f t="shared" ref="G294:G316" si="133">D294*E294*F294</f>
        <v>37500</v>
      </c>
      <c r="H294" s="268">
        <f t="shared" ref="H294:H316" si="134">G294/589.84</f>
        <v>63.576563135765625</v>
      </c>
      <c r="I294" s="642">
        <f t="shared" ref="I294:I314" si="135">G294*0.03</f>
        <v>1125</v>
      </c>
      <c r="J294" s="642">
        <f>125*D294</f>
        <v>1875</v>
      </c>
      <c r="K294" s="642">
        <f t="shared" ref="K294:K314" si="136">G294/D294</f>
        <v>2500</v>
      </c>
      <c r="L294" s="501"/>
      <c r="M294" s="501"/>
      <c r="N294" s="501"/>
      <c r="O294" s="500"/>
    </row>
    <row r="295" spans="1:40" x14ac:dyDescent="0.25">
      <c r="A295" s="188">
        <v>2</v>
      </c>
      <c r="B295" s="189" t="s">
        <v>1382</v>
      </c>
      <c r="C295" s="225" t="s">
        <v>28</v>
      </c>
      <c r="D295" s="403">
        <v>21</v>
      </c>
      <c r="E295" s="225">
        <v>1</v>
      </c>
      <c r="F295" s="227">
        <f t="shared" ref="F295:F312" si="137">7500-5000</f>
        <v>2500</v>
      </c>
      <c r="G295" s="227">
        <f t="shared" si="133"/>
        <v>52500</v>
      </c>
      <c r="H295" s="346">
        <f t="shared" si="134"/>
        <v>89.007188390071875</v>
      </c>
      <c r="I295" s="642">
        <f t="shared" si="135"/>
        <v>1575</v>
      </c>
      <c r="J295" s="642">
        <f t="shared" ref="J295:J312" si="138">125*D295</f>
        <v>2625</v>
      </c>
      <c r="K295" s="642">
        <f t="shared" si="136"/>
        <v>2500</v>
      </c>
      <c r="L295" s="501"/>
      <c r="M295" s="501"/>
      <c r="N295" s="501"/>
      <c r="O295" s="500"/>
    </row>
    <row r="296" spans="1:40" x14ac:dyDescent="0.25">
      <c r="A296" s="188">
        <v>3</v>
      </c>
      <c r="B296" s="189" t="s">
        <v>1231</v>
      </c>
      <c r="C296" s="225" t="s">
        <v>28</v>
      </c>
      <c r="D296" s="403">
        <v>14</v>
      </c>
      <c r="E296" s="225">
        <v>1</v>
      </c>
      <c r="F296" s="227">
        <f t="shared" si="137"/>
        <v>2500</v>
      </c>
      <c r="G296" s="227">
        <f t="shared" si="133"/>
        <v>35000</v>
      </c>
      <c r="H296" s="268">
        <f t="shared" si="134"/>
        <v>59.33812559338125</v>
      </c>
      <c r="I296" s="642">
        <f t="shared" si="135"/>
        <v>1050</v>
      </c>
      <c r="J296" s="642">
        <f t="shared" si="138"/>
        <v>1750</v>
      </c>
      <c r="K296" s="642">
        <f t="shared" si="136"/>
        <v>2500</v>
      </c>
      <c r="L296" s="501"/>
      <c r="M296" s="501"/>
      <c r="N296" s="501"/>
      <c r="O296" s="500"/>
    </row>
    <row r="297" spans="1:40" x14ac:dyDescent="0.25">
      <c r="A297" s="188">
        <v>4</v>
      </c>
      <c r="B297" s="189" t="s">
        <v>1232</v>
      </c>
      <c r="C297" s="225" t="s">
        <v>28</v>
      </c>
      <c r="D297" s="403">
        <v>25</v>
      </c>
      <c r="E297" s="225">
        <v>1</v>
      </c>
      <c r="F297" s="227">
        <f t="shared" si="137"/>
        <v>2500</v>
      </c>
      <c r="G297" s="227">
        <f t="shared" si="133"/>
        <v>62500</v>
      </c>
      <c r="H297" s="268">
        <f t="shared" si="134"/>
        <v>105.96093855960937</v>
      </c>
      <c r="I297" s="642">
        <f t="shared" si="135"/>
        <v>1875</v>
      </c>
      <c r="J297" s="642">
        <f t="shared" si="138"/>
        <v>3125</v>
      </c>
      <c r="K297" s="642">
        <f t="shared" si="136"/>
        <v>2500</v>
      </c>
      <c r="L297" s="501"/>
      <c r="M297" s="501"/>
      <c r="N297" s="501"/>
      <c r="O297" s="500"/>
    </row>
    <row r="298" spans="1:40" x14ac:dyDescent="0.25">
      <c r="A298" s="188">
        <v>5</v>
      </c>
      <c r="B298" s="189" t="s">
        <v>1233</v>
      </c>
      <c r="C298" s="225" t="s">
        <v>28</v>
      </c>
      <c r="D298" s="403">
        <v>28</v>
      </c>
      <c r="E298" s="225">
        <v>1</v>
      </c>
      <c r="F298" s="227">
        <f t="shared" si="137"/>
        <v>2500</v>
      </c>
      <c r="G298" s="227">
        <f t="shared" si="133"/>
        <v>70000</v>
      </c>
      <c r="H298" s="268">
        <f t="shared" si="134"/>
        <v>118.6762511867625</v>
      </c>
      <c r="I298" s="642">
        <f t="shared" si="135"/>
        <v>2100</v>
      </c>
      <c r="J298" s="642">
        <f t="shared" si="138"/>
        <v>3500</v>
      </c>
      <c r="K298" s="642">
        <f t="shared" si="136"/>
        <v>2500</v>
      </c>
      <c r="L298" s="501"/>
      <c r="M298" s="501"/>
      <c r="N298" s="501"/>
      <c r="O298" s="500"/>
    </row>
    <row r="299" spans="1:40" x14ac:dyDescent="0.25">
      <c r="A299" s="188">
        <v>6</v>
      </c>
      <c r="B299" s="189" t="s">
        <v>1234</v>
      </c>
      <c r="C299" s="225" t="s">
        <v>28</v>
      </c>
      <c r="D299" s="403">
        <v>18</v>
      </c>
      <c r="E299" s="225">
        <v>1</v>
      </c>
      <c r="F299" s="227">
        <f t="shared" si="137"/>
        <v>2500</v>
      </c>
      <c r="G299" s="227">
        <f t="shared" si="133"/>
        <v>45000</v>
      </c>
      <c r="H299" s="268">
        <f t="shared" si="134"/>
        <v>76.29187576291875</v>
      </c>
      <c r="I299" s="642">
        <f t="shared" si="135"/>
        <v>1350</v>
      </c>
      <c r="J299" s="642">
        <f t="shared" si="138"/>
        <v>2250</v>
      </c>
      <c r="K299" s="642">
        <f t="shared" si="136"/>
        <v>2500</v>
      </c>
      <c r="L299" s="501"/>
      <c r="M299" s="501"/>
      <c r="N299" s="501"/>
      <c r="O299" s="500"/>
    </row>
    <row r="300" spans="1:40" x14ac:dyDescent="0.25">
      <c r="A300" s="188">
        <v>7</v>
      </c>
      <c r="B300" s="189" t="s">
        <v>1235</v>
      </c>
      <c r="C300" s="225" t="s">
        <v>28</v>
      </c>
      <c r="D300" s="403">
        <v>13</v>
      </c>
      <c r="E300" s="225">
        <v>1</v>
      </c>
      <c r="F300" s="227">
        <f t="shared" si="137"/>
        <v>2500</v>
      </c>
      <c r="G300" s="227">
        <f t="shared" si="133"/>
        <v>32500</v>
      </c>
      <c r="H300" s="268">
        <f t="shared" si="134"/>
        <v>55.099688050996875</v>
      </c>
      <c r="I300" s="642">
        <f t="shared" si="135"/>
        <v>975</v>
      </c>
      <c r="J300" s="642">
        <f t="shared" si="138"/>
        <v>1625</v>
      </c>
      <c r="K300" s="642">
        <f t="shared" si="136"/>
        <v>2500</v>
      </c>
      <c r="L300" s="501"/>
      <c r="M300" s="501"/>
      <c r="N300" s="501"/>
      <c r="O300" s="500"/>
    </row>
    <row r="301" spans="1:40" x14ac:dyDescent="0.25">
      <c r="A301" s="188">
        <v>8</v>
      </c>
      <c r="B301" s="189" t="s">
        <v>1236</v>
      </c>
      <c r="C301" s="225" t="s">
        <v>28</v>
      </c>
      <c r="D301" s="403">
        <v>14</v>
      </c>
      <c r="E301" s="225">
        <v>1</v>
      </c>
      <c r="F301" s="227">
        <f t="shared" si="137"/>
        <v>2500</v>
      </c>
      <c r="G301" s="227">
        <f t="shared" si="133"/>
        <v>35000</v>
      </c>
      <c r="H301" s="268">
        <f t="shared" si="134"/>
        <v>59.33812559338125</v>
      </c>
      <c r="I301" s="642">
        <f t="shared" si="135"/>
        <v>1050</v>
      </c>
      <c r="J301" s="642">
        <f t="shared" si="138"/>
        <v>1750</v>
      </c>
      <c r="K301" s="642">
        <f t="shared" si="136"/>
        <v>2500</v>
      </c>
      <c r="L301" s="501"/>
      <c r="M301" s="501"/>
      <c r="N301" s="501"/>
      <c r="O301" s="500"/>
    </row>
    <row r="302" spans="1:40" x14ac:dyDescent="0.25">
      <c r="A302" s="188">
        <v>9</v>
      </c>
      <c r="B302" s="189" t="s">
        <v>1237</v>
      </c>
      <c r="C302" s="225" t="s">
        <v>28</v>
      </c>
      <c r="D302" s="403">
        <v>15</v>
      </c>
      <c r="E302" s="225">
        <v>1</v>
      </c>
      <c r="F302" s="227">
        <f t="shared" si="137"/>
        <v>2500</v>
      </c>
      <c r="G302" s="227">
        <f t="shared" si="133"/>
        <v>37500</v>
      </c>
      <c r="H302" s="268">
        <f t="shared" si="134"/>
        <v>63.576563135765625</v>
      </c>
      <c r="I302" s="642">
        <f t="shared" si="135"/>
        <v>1125</v>
      </c>
      <c r="J302" s="642">
        <f t="shared" si="138"/>
        <v>1875</v>
      </c>
      <c r="K302" s="642">
        <f t="shared" si="136"/>
        <v>2500</v>
      </c>
      <c r="L302" s="501"/>
      <c r="M302" s="501"/>
      <c r="N302" s="501"/>
      <c r="O302" s="500"/>
    </row>
    <row r="303" spans="1:40" x14ac:dyDescent="0.25">
      <c r="A303" s="188">
        <v>10</v>
      </c>
      <c r="B303" s="189" t="s">
        <v>1238</v>
      </c>
      <c r="C303" s="225" t="s">
        <v>28</v>
      </c>
      <c r="D303" s="403">
        <v>13</v>
      </c>
      <c r="E303" s="225">
        <v>1</v>
      </c>
      <c r="F303" s="227">
        <f t="shared" si="137"/>
        <v>2500</v>
      </c>
      <c r="G303" s="227">
        <f t="shared" si="133"/>
        <v>32500</v>
      </c>
      <c r="H303" s="268">
        <f t="shared" si="134"/>
        <v>55.099688050996875</v>
      </c>
      <c r="I303" s="642">
        <f t="shared" si="135"/>
        <v>975</v>
      </c>
      <c r="J303" s="642">
        <f t="shared" si="138"/>
        <v>1625</v>
      </c>
      <c r="K303" s="642">
        <f t="shared" si="136"/>
        <v>2500</v>
      </c>
      <c r="L303" s="501"/>
      <c r="M303" s="501"/>
      <c r="N303" s="501"/>
      <c r="O303" s="500"/>
    </row>
    <row r="304" spans="1:40" s="34" customFormat="1" x14ac:dyDescent="0.25">
      <c r="A304" s="188">
        <v>11</v>
      </c>
      <c r="B304" s="189" t="s">
        <v>1239</v>
      </c>
      <c r="C304" s="225" t="s">
        <v>28</v>
      </c>
      <c r="D304" s="403">
        <v>14</v>
      </c>
      <c r="E304" s="225">
        <v>1</v>
      </c>
      <c r="F304" s="227">
        <f t="shared" si="137"/>
        <v>2500</v>
      </c>
      <c r="G304" s="227">
        <f t="shared" si="133"/>
        <v>35000</v>
      </c>
      <c r="H304" s="268">
        <f t="shared" si="134"/>
        <v>59.33812559338125</v>
      </c>
      <c r="I304" s="642">
        <f t="shared" si="135"/>
        <v>1050</v>
      </c>
      <c r="J304" s="642">
        <f t="shared" si="138"/>
        <v>1750</v>
      </c>
      <c r="K304" s="642">
        <f t="shared" si="136"/>
        <v>2500</v>
      </c>
      <c r="L304" s="501"/>
      <c r="M304" s="501"/>
      <c r="N304" s="501"/>
      <c r="O304" s="500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</row>
    <row r="305" spans="1:40" s="34" customFormat="1" ht="20.25" customHeight="1" x14ac:dyDescent="0.25">
      <c r="A305" s="188">
        <v>12</v>
      </c>
      <c r="B305" s="189" t="s">
        <v>1240</v>
      </c>
      <c r="C305" s="225" t="s">
        <v>28</v>
      </c>
      <c r="D305" s="403">
        <v>22</v>
      </c>
      <c r="E305" s="225">
        <v>1</v>
      </c>
      <c r="F305" s="227">
        <f t="shared" si="137"/>
        <v>2500</v>
      </c>
      <c r="G305" s="227">
        <f t="shared" si="133"/>
        <v>55000</v>
      </c>
      <c r="H305" s="268">
        <f t="shared" si="134"/>
        <v>93.24562593245625</v>
      </c>
      <c r="I305" s="642">
        <f t="shared" si="135"/>
        <v>1650</v>
      </c>
      <c r="J305" s="642">
        <f t="shared" si="138"/>
        <v>2750</v>
      </c>
      <c r="K305" s="642">
        <f t="shared" si="136"/>
        <v>2500</v>
      </c>
      <c r="L305" s="501"/>
      <c r="M305" s="501"/>
      <c r="N305" s="501"/>
      <c r="O305" s="500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</row>
    <row r="306" spans="1:40" s="34" customFormat="1" x14ac:dyDescent="0.25">
      <c r="A306" s="188">
        <v>13</v>
      </c>
      <c r="B306" s="189" t="s">
        <v>1241</v>
      </c>
      <c r="C306" s="225" t="s">
        <v>28</v>
      </c>
      <c r="D306" s="403">
        <v>6</v>
      </c>
      <c r="E306" s="225">
        <v>1</v>
      </c>
      <c r="F306" s="227">
        <f t="shared" si="137"/>
        <v>2500</v>
      </c>
      <c r="G306" s="227">
        <f t="shared" si="133"/>
        <v>15000</v>
      </c>
      <c r="H306" s="268">
        <f t="shared" si="134"/>
        <v>25.43062525430625</v>
      </c>
      <c r="I306" s="642">
        <f t="shared" si="135"/>
        <v>450</v>
      </c>
      <c r="J306" s="642">
        <f t="shared" si="138"/>
        <v>750</v>
      </c>
      <c r="K306" s="642">
        <f t="shared" si="136"/>
        <v>2500</v>
      </c>
      <c r="L306" s="501"/>
      <c r="M306" s="501"/>
      <c r="N306" s="501"/>
      <c r="O306" s="500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</row>
    <row r="307" spans="1:40" s="34" customFormat="1" x14ac:dyDescent="0.25">
      <c r="A307" s="188">
        <v>14</v>
      </c>
      <c r="B307" s="189" t="s">
        <v>1242</v>
      </c>
      <c r="C307" s="225" t="s">
        <v>28</v>
      </c>
      <c r="D307" s="403">
        <v>9</v>
      </c>
      <c r="E307" s="225">
        <v>1</v>
      </c>
      <c r="F307" s="227">
        <f t="shared" si="137"/>
        <v>2500</v>
      </c>
      <c r="G307" s="227">
        <f t="shared" si="133"/>
        <v>22500</v>
      </c>
      <c r="H307" s="268">
        <f t="shared" si="134"/>
        <v>38.145937881459375</v>
      </c>
      <c r="I307" s="642">
        <f t="shared" si="135"/>
        <v>675</v>
      </c>
      <c r="J307" s="642">
        <f t="shared" si="138"/>
        <v>1125</v>
      </c>
      <c r="K307" s="642">
        <f t="shared" si="136"/>
        <v>2500</v>
      </c>
      <c r="L307" s="501"/>
      <c r="M307" s="501"/>
      <c r="N307" s="501"/>
      <c r="O307" s="500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</row>
    <row r="308" spans="1:40" s="34" customFormat="1" x14ac:dyDescent="0.25">
      <c r="A308" s="188">
        <v>15</v>
      </c>
      <c r="B308" s="189" t="s">
        <v>1243</v>
      </c>
      <c r="C308" s="225" t="s">
        <v>28</v>
      </c>
      <c r="D308" s="403">
        <v>19</v>
      </c>
      <c r="E308" s="225">
        <v>1</v>
      </c>
      <c r="F308" s="227">
        <f t="shared" si="137"/>
        <v>2500</v>
      </c>
      <c r="G308" s="227">
        <f t="shared" si="133"/>
        <v>47500</v>
      </c>
      <c r="H308" s="268">
        <f t="shared" si="134"/>
        <v>80.530313305303125</v>
      </c>
      <c r="I308" s="642">
        <f t="shared" si="135"/>
        <v>1425</v>
      </c>
      <c r="J308" s="642">
        <f t="shared" si="138"/>
        <v>2375</v>
      </c>
      <c r="K308" s="642">
        <f t="shared" si="136"/>
        <v>2500</v>
      </c>
      <c r="L308" s="501"/>
      <c r="M308" s="501"/>
      <c r="N308" s="501"/>
      <c r="O308" s="500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</row>
    <row r="309" spans="1:40" s="34" customFormat="1" x14ac:dyDescent="0.25">
      <c r="A309" s="188">
        <v>16</v>
      </c>
      <c r="B309" s="189" t="s">
        <v>1244</v>
      </c>
      <c r="C309" s="225" t="s">
        <v>28</v>
      </c>
      <c r="D309" s="403">
        <v>45</v>
      </c>
      <c r="E309" s="225">
        <v>1</v>
      </c>
      <c r="F309" s="227">
        <f t="shared" si="137"/>
        <v>2500</v>
      </c>
      <c r="G309" s="227">
        <f t="shared" si="133"/>
        <v>112500</v>
      </c>
      <c r="H309" s="268">
        <f t="shared" si="134"/>
        <v>190.72968940729689</v>
      </c>
      <c r="I309" s="642">
        <f t="shared" si="135"/>
        <v>3375</v>
      </c>
      <c r="J309" s="642">
        <f t="shared" si="138"/>
        <v>5625</v>
      </c>
      <c r="K309" s="642">
        <f t="shared" si="136"/>
        <v>2500</v>
      </c>
      <c r="L309" s="501"/>
      <c r="M309" s="501"/>
      <c r="N309" s="501"/>
      <c r="O309" s="500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</row>
    <row r="310" spans="1:40" s="34" customFormat="1" x14ac:dyDescent="0.25">
      <c r="A310" s="188">
        <v>17</v>
      </c>
      <c r="B310" s="189" t="s">
        <v>1245</v>
      </c>
      <c r="C310" s="225" t="s">
        <v>28</v>
      </c>
      <c r="D310" s="403">
        <v>34</v>
      </c>
      <c r="E310" s="225">
        <v>1</v>
      </c>
      <c r="F310" s="227">
        <f t="shared" si="137"/>
        <v>2500</v>
      </c>
      <c r="G310" s="227">
        <f t="shared" si="133"/>
        <v>85000</v>
      </c>
      <c r="H310" s="268">
        <f t="shared" si="134"/>
        <v>144.10687644106875</v>
      </c>
      <c r="I310" s="642">
        <f t="shared" si="135"/>
        <v>2550</v>
      </c>
      <c r="J310" s="642">
        <f t="shared" si="138"/>
        <v>4250</v>
      </c>
      <c r="K310" s="642">
        <f t="shared" si="136"/>
        <v>2500</v>
      </c>
      <c r="L310" s="501"/>
      <c r="M310" s="501"/>
      <c r="N310" s="501"/>
      <c r="O310" s="50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</row>
    <row r="311" spans="1:40" s="34" customFormat="1" x14ac:dyDescent="0.25">
      <c r="A311" s="188">
        <v>18</v>
      </c>
      <c r="B311" s="189" t="s">
        <v>1246</v>
      </c>
      <c r="C311" s="225" t="s">
        <v>28</v>
      </c>
      <c r="D311" s="403">
        <v>18</v>
      </c>
      <c r="E311" s="225">
        <v>1</v>
      </c>
      <c r="F311" s="227">
        <f t="shared" si="137"/>
        <v>2500</v>
      </c>
      <c r="G311" s="227">
        <f t="shared" si="133"/>
        <v>45000</v>
      </c>
      <c r="H311" s="268">
        <f t="shared" si="134"/>
        <v>76.29187576291875</v>
      </c>
      <c r="I311" s="642">
        <f t="shared" si="135"/>
        <v>1350</v>
      </c>
      <c r="J311" s="642">
        <f t="shared" si="138"/>
        <v>2250</v>
      </c>
      <c r="K311" s="642">
        <f t="shared" si="136"/>
        <v>2500</v>
      </c>
      <c r="L311" s="501"/>
      <c r="M311" s="501"/>
      <c r="N311" s="501"/>
      <c r="O311" s="500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</row>
    <row r="312" spans="1:40" s="34" customFormat="1" ht="19.149999999999999" customHeight="1" x14ac:dyDescent="0.25">
      <c r="A312" s="188">
        <v>19</v>
      </c>
      <c r="B312" s="189" t="s">
        <v>1247</v>
      </c>
      <c r="C312" s="225" t="s">
        <v>28</v>
      </c>
      <c r="D312" s="403">
        <v>24</v>
      </c>
      <c r="E312" s="225">
        <v>1</v>
      </c>
      <c r="F312" s="227">
        <f t="shared" si="137"/>
        <v>2500</v>
      </c>
      <c r="G312" s="227">
        <f t="shared" si="133"/>
        <v>60000</v>
      </c>
      <c r="H312" s="268">
        <f t="shared" si="134"/>
        <v>101.722501017225</v>
      </c>
      <c r="I312" s="642">
        <f t="shared" si="135"/>
        <v>1800</v>
      </c>
      <c r="J312" s="642">
        <f t="shared" si="138"/>
        <v>3000</v>
      </c>
      <c r="K312" s="642">
        <f t="shared" si="136"/>
        <v>2500</v>
      </c>
      <c r="L312" s="501"/>
      <c r="M312" s="501"/>
      <c r="N312" s="501"/>
      <c r="O312" s="500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</row>
    <row r="313" spans="1:40" s="34" customFormat="1" x14ac:dyDescent="0.25">
      <c r="A313" s="188">
        <v>20</v>
      </c>
      <c r="B313" s="189" t="s">
        <v>429</v>
      </c>
      <c r="C313" s="225" t="s">
        <v>28</v>
      </c>
      <c r="D313" s="403">
        <v>19</v>
      </c>
      <c r="E313" s="225">
        <v>1</v>
      </c>
      <c r="F313" s="227">
        <v>3000</v>
      </c>
      <c r="G313" s="227">
        <f t="shared" si="133"/>
        <v>57000</v>
      </c>
      <c r="H313" s="268">
        <f t="shared" si="134"/>
        <v>96.636375966363758</v>
      </c>
      <c r="I313" s="642">
        <f t="shared" si="135"/>
        <v>1710</v>
      </c>
      <c r="J313" s="642">
        <f>250*D313</f>
        <v>4750</v>
      </c>
      <c r="K313" s="642">
        <f t="shared" si="136"/>
        <v>3000</v>
      </c>
      <c r="L313" s="501"/>
      <c r="M313" s="501"/>
      <c r="N313" s="501"/>
      <c r="O313" s="500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</row>
    <row r="314" spans="1:40" s="34" customFormat="1" x14ac:dyDescent="0.25">
      <c r="A314" s="188">
        <v>21</v>
      </c>
      <c r="B314" s="189" t="s">
        <v>430</v>
      </c>
      <c r="C314" s="225" t="s">
        <v>28</v>
      </c>
      <c r="D314" s="403">
        <v>2</v>
      </c>
      <c r="E314" s="225">
        <v>2</v>
      </c>
      <c r="F314" s="227">
        <v>25000</v>
      </c>
      <c r="G314" s="227">
        <f t="shared" si="133"/>
        <v>100000</v>
      </c>
      <c r="H314" s="268">
        <f t="shared" si="134"/>
        <v>169.537501695375</v>
      </c>
      <c r="I314" s="642">
        <f t="shared" si="135"/>
        <v>3000</v>
      </c>
      <c r="J314" s="642">
        <f>1050*D314</f>
        <v>2100</v>
      </c>
      <c r="K314" s="642">
        <f t="shared" si="136"/>
        <v>50000</v>
      </c>
      <c r="L314" s="501"/>
      <c r="M314" s="501"/>
      <c r="N314" s="501"/>
      <c r="O314" s="500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</row>
    <row r="315" spans="1:40" s="34" customFormat="1" x14ac:dyDescent="0.25">
      <c r="A315" s="188">
        <v>22</v>
      </c>
      <c r="B315" s="189" t="s">
        <v>431</v>
      </c>
      <c r="C315" s="225" t="s">
        <v>30</v>
      </c>
      <c r="D315" s="403">
        <v>0</v>
      </c>
      <c r="E315" s="225">
        <v>1</v>
      </c>
      <c r="F315" s="227">
        <v>850</v>
      </c>
      <c r="G315" s="227">
        <f t="shared" si="133"/>
        <v>0</v>
      </c>
      <c r="H315" s="268">
        <f t="shared" si="134"/>
        <v>0</v>
      </c>
      <c r="I315" s="642">
        <f t="shared" ref="I315:I316" si="139">G315*0.03</f>
        <v>0</v>
      </c>
      <c r="J315" s="642">
        <f t="shared" ref="J315:J316" si="140">1050*D315</f>
        <v>0</v>
      </c>
      <c r="K315" s="642">
        <v>0</v>
      </c>
      <c r="L315" s="501"/>
      <c r="M315" s="501"/>
      <c r="N315" s="501"/>
      <c r="O315" s="500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</row>
    <row r="316" spans="1:40" s="34" customFormat="1" ht="16.5" thickBot="1" x14ac:dyDescent="0.3">
      <c r="A316" s="188">
        <v>23</v>
      </c>
      <c r="B316" s="189" t="s">
        <v>432</v>
      </c>
      <c r="C316" s="225" t="s">
        <v>30</v>
      </c>
      <c r="D316" s="403">
        <v>0</v>
      </c>
      <c r="E316" s="225">
        <v>1</v>
      </c>
      <c r="F316" s="227">
        <v>800</v>
      </c>
      <c r="G316" s="227">
        <f t="shared" si="133"/>
        <v>0</v>
      </c>
      <c r="H316" s="268">
        <f t="shared" si="134"/>
        <v>0</v>
      </c>
      <c r="I316" s="642">
        <f t="shared" si="139"/>
        <v>0</v>
      </c>
      <c r="J316" s="642">
        <f t="shared" si="140"/>
        <v>0</v>
      </c>
      <c r="K316" s="642">
        <v>0</v>
      </c>
      <c r="L316" s="501"/>
      <c r="M316" s="501"/>
      <c r="N316" s="501"/>
      <c r="O316" s="500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</row>
    <row r="317" spans="1:40" s="34" customFormat="1" ht="18.75" thickBot="1" x14ac:dyDescent="0.3">
      <c r="A317" s="261"/>
      <c r="B317" s="342" t="s">
        <v>1399</v>
      </c>
      <c r="C317" s="261"/>
      <c r="D317" s="261"/>
      <c r="E317" s="261"/>
      <c r="F317" s="263"/>
      <c r="G317" s="263">
        <f>SUM(G294:G316)</f>
        <v>1074500</v>
      </c>
      <c r="H317" s="268">
        <f>SUM(H294:H316)</f>
        <v>1821.6804557168048</v>
      </c>
      <c r="I317" s="263">
        <f>SUM(I294:I316)</f>
        <v>32235</v>
      </c>
      <c r="J317" s="263">
        <f>SUM(J294:J316)</f>
        <v>52725</v>
      </c>
      <c r="K317" s="501"/>
      <c r="L317" s="501"/>
      <c r="M317" s="501"/>
      <c r="N317" s="501"/>
      <c r="O317" s="500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</row>
    <row r="318" spans="1:40" s="34" customFormat="1" ht="28.5" x14ac:dyDescent="0.25">
      <c r="A318" s="188"/>
      <c r="B318" s="189" t="s">
        <v>435</v>
      </c>
      <c r="C318" s="225"/>
      <c r="D318" s="226"/>
      <c r="E318" s="225"/>
      <c r="F318" s="227"/>
      <c r="G318" s="227"/>
      <c r="H318" s="268"/>
      <c r="I318" s="501"/>
      <c r="J318" s="501"/>
      <c r="K318" s="501"/>
      <c r="L318" s="501"/>
      <c r="M318" s="501"/>
      <c r="N318" s="501"/>
      <c r="O318" s="500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</row>
    <row r="319" spans="1:40" s="48" customFormat="1" ht="16.5" thickBot="1" x14ac:dyDescent="0.3">
      <c r="A319" s="411">
        <v>1</v>
      </c>
      <c r="B319" s="412" t="s">
        <v>1388</v>
      </c>
      <c r="C319" s="404" t="s">
        <v>28</v>
      </c>
      <c r="D319" s="403">
        <v>15</v>
      </c>
      <c r="E319" s="404">
        <v>1</v>
      </c>
      <c r="F319" s="405">
        <v>5000</v>
      </c>
      <c r="G319" s="444">
        <f t="shared" ref="G319:G322" si="141">D319*E319*F319</f>
        <v>75000</v>
      </c>
      <c r="H319" s="415">
        <f t="shared" ref="H319:H322" si="142">G319/589.84</f>
        <v>127.15312627153125</v>
      </c>
      <c r="I319" s="642">
        <f t="shared" ref="I319:I320" si="143">G319*0.03</f>
        <v>2250</v>
      </c>
      <c r="J319" s="642">
        <f>250*D319</f>
        <v>3750</v>
      </c>
      <c r="K319" s="642">
        <f t="shared" ref="K319:K320" si="144">G319/D319</f>
        <v>5000</v>
      </c>
      <c r="L319" s="501"/>
      <c r="M319" s="501"/>
      <c r="N319" s="501"/>
      <c r="O319" s="500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</row>
    <row r="320" spans="1:40" s="48" customFormat="1" ht="16.5" thickBot="1" x14ac:dyDescent="0.3">
      <c r="A320" s="188">
        <v>2</v>
      </c>
      <c r="B320" s="412" t="s">
        <v>1474</v>
      </c>
      <c r="C320" s="404" t="s">
        <v>1475</v>
      </c>
      <c r="D320" s="403">
        <v>2</v>
      </c>
      <c r="E320" s="404">
        <v>1</v>
      </c>
      <c r="F320" s="405">
        <v>50000</v>
      </c>
      <c r="G320" s="405">
        <f t="shared" si="141"/>
        <v>100000</v>
      </c>
      <c r="H320" s="551">
        <f t="shared" si="142"/>
        <v>169.537501695375</v>
      </c>
      <c r="I320" s="642">
        <f t="shared" si="143"/>
        <v>3000</v>
      </c>
      <c r="J320" s="642">
        <f>1050*D320</f>
        <v>2100</v>
      </c>
      <c r="K320" s="642">
        <f t="shared" si="144"/>
        <v>50000</v>
      </c>
      <c r="L320" s="501"/>
      <c r="M320" s="501"/>
      <c r="N320" s="501"/>
      <c r="O320" s="501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</row>
    <row r="321" spans="1:41" ht="18.75" thickBot="1" x14ac:dyDescent="0.3">
      <c r="A321" s="341"/>
      <c r="B321" s="342" t="s">
        <v>1422</v>
      </c>
      <c r="C321" s="343"/>
      <c r="D321" s="343"/>
      <c r="E321" s="343"/>
      <c r="F321" s="344"/>
      <c r="G321" s="344">
        <f>SUM(G319:G320)</f>
        <v>175000</v>
      </c>
      <c r="H321" s="516">
        <f>SUM(H319:H320)</f>
        <v>296.69062796690628</v>
      </c>
      <c r="I321" s="263">
        <f>SUM(I319:I320)</f>
        <v>5250</v>
      </c>
      <c r="J321" s="263">
        <f>SUM(J319:J320)</f>
        <v>5850</v>
      </c>
      <c r="K321" s="12"/>
      <c r="L321" s="12"/>
      <c r="M321" s="12"/>
      <c r="N321" s="12"/>
      <c r="O321" s="12"/>
    </row>
    <row r="322" spans="1:41" s="48" customFormat="1" ht="15" customHeight="1" x14ac:dyDescent="0.25">
      <c r="A322" s="411">
        <v>1</v>
      </c>
      <c r="B322" s="417" t="s">
        <v>1424</v>
      </c>
      <c r="C322" s="404"/>
      <c r="D322" s="403">
        <v>1</v>
      </c>
      <c r="E322" s="404">
        <v>1</v>
      </c>
      <c r="F322" s="405">
        <v>100000</v>
      </c>
      <c r="G322" s="444">
        <f t="shared" si="141"/>
        <v>100000</v>
      </c>
      <c r="H322" s="415">
        <f t="shared" si="142"/>
        <v>169.537501695375</v>
      </c>
      <c r="I322" s="642">
        <f t="shared" ref="I322" si="145">G322*0.03</f>
        <v>3000</v>
      </c>
      <c r="J322" s="642">
        <f>1600*D322</f>
        <v>1600</v>
      </c>
      <c r="K322" s="642">
        <f t="shared" ref="K322" si="146">G322/D322</f>
        <v>100000</v>
      </c>
      <c r="L322" s="501"/>
      <c r="M322" s="501"/>
      <c r="N322" s="501"/>
      <c r="O322" s="500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</row>
    <row r="323" spans="1:41" s="48" customFormat="1" ht="36" x14ac:dyDescent="0.25">
      <c r="A323" s="18"/>
      <c r="B323" s="206" t="s">
        <v>1425</v>
      </c>
      <c r="C323" s="18"/>
      <c r="D323" s="18"/>
      <c r="E323" s="18"/>
      <c r="F323" s="18"/>
      <c r="G323" s="18"/>
      <c r="H323" s="550"/>
      <c r="I323" s="530"/>
      <c r="J323" s="501"/>
      <c r="K323" s="501"/>
      <c r="L323" s="501"/>
      <c r="M323" s="501"/>
      <c r="N323" s="501"/>
      <c r="O323" s="501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</row>
    <row r="324" spans="1:41" s="48" customFormat="1" x14ac:dyDescent="0.25">
      <c r="A324" s="595">
        <v>1</v>
      </c>
      <c r="B324" s="575" t="s">
        <v>1391</v>
      </c>
      <c r="C324" s="575" t="s">
        <v>17</v>
      </c>
      <c r="D324" s="575">
        <v>200</v>
      </c>
      <c r="E324" s="575">
        <v>1</v>
      </c>
      <c r="F324" s="576">
        <v>800</v>
      </c>
      <c r="G324" s="424">
        <f>+D324*E324*F324</f>
        <v>160000</v>
      </c>
      <c r="H324" s="425">
        <f>+G324/589.84</f>
        <v>271.2600027126</v>
      </c>
      <c r="I324" s="530"/>
      <c r="J324" s="501"/>
      <c r="K324" s="501"/>
      <c r="L324" s="501"/>
      <c r="M324" s="501"/>
      <c r="N324" s="501"/>
      <c r="O324" s="501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</row>
    <row r="325" spans="1:41" s="430" customFormat="1" x14ac:dyDescent="0.25">
      <c r="A325" s="578">
        <v>2</v>
      </c>
      <c r="B325" s="577" t="s">
        <v>1339</v>
      </c>
      <c r="C325" s="577" t="s">
        <v>28</v>
      </c>
      <c r="D325" s="577">
        <v>1</v>
      </c>
      <c r="E325" s="577">
        <v>1</v>
      </c>
      <c r="F325" s="578">
        <v>8000</v>
      </c>
      <c r="G325" s="25">
        <f t="shared" ref="G325:G326" si="147">+D325*E325*F325</f>
        <v>8000</v>
      </c>
      <c r="H325" s="515">
        <f t="shared" ref="H325:H326" si="148">+G325/589.84</f>
        <v>13.56300013563</v>
      </c>
      <c r="I325" s="642">
        <f t="shared" ref="I325:I326" si="149">G325*0.03</f>
        <v>240</v>
      </c>
      <c r="J325" s="642">
        <f>350*D325</f>
        <v>350</v>
      </c>
      <c r="K325" s="642">
        <f t="shared" ref="K325:K326" si="150">G325/D325</f>
        <v>8000</v>
      </c>
      <c r="L325" s="501"/>
      <c r="M325" s="501"/>
      <c r="N325" s="501"/>
      <c r="O325" s="501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 s="499"/>
    </row>
    <row r="326" spans="1:41" s="430" customFormat="1" ht="16.5" thickBot="1" x14ac:dyDescent="0.3">
      <c r="A326" s="578">
        <v>3</v>
      </c>
      <c r="B326" s="577" t="s">
        <v>1394</v>
      </c>
      <c r="C326" s="577" t="s">
        <v>28</v>
      </c>
      <c r="D326" s="577">
        <v>1</v>
      </c>
      <c r="E326" s="577">
        <v>1</v>
      </c>
      <c r="F326" s="578">
        <v>8000</v>
      </c>
      <c r="G326" s="25">
        <f t="shared" si="147"/>
        <v>8000</v>
      </c>
      <c r="H326" s="515">
        <f t="shared" si="148"/>
        <v>13.56300013563</v>
      </c>
      <c r="I326" s="642">
        <f t="shared" si="149"/>
        <v>240</v>
      </c>
      <c r="J326" s="642">
        <f>350*D326</f>
        <v>350</v>
      </c>
      <c r="K326" s="642">
        <f t="shared" si="150"/>
        <v>8000</v>
      </c>
      <c r="L326" s="501"/>
      <c r="M326" s="501"/>
      <c r="N326" s="501"/>
      <c r="O326" s="501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 s="499"/>
    </row>
    <row r="327" spans="1:41" ht="18.75" thickBot="1" x14ac:dyDescent="0.3">
      <c r="A327" s="341"/>
      <c r="B327" s="342" t="s">
        <v>1399</v>
      </c>
      <c r="C327" s="343"/>
      <c r="D327" s="343"/>
      <c r="E327" s="343"/>
      <c r="F327" s="344"/>
      <c r="G327" s="344">
        <f>SUM(G319:G323)</f>
        <v>450000</v>
      </c>
      <c r="H327" s="516">
        <f>SUM(H319:H323)</f>
        <v>762.91875762918755</v>
      </c>
      <c r="I327" s="263">
        <f>SUM(I325:I326)</f>
        <v>480</v>
      </c>
      <c r="J327" s="263">
        <f>SUM(J325:J326)</f>
        <v>700</v>
      </c>
      <c r="K327" s="12"/>
      <c r="L327" s="12"/>
      <c r="M327" s="12"/>
      <c r="N327" s="12"/>
      <c r="O327" s="12"/>
    </row>
    <row r="328" spans="1:41" s="481" customFormat="1" ht="19.5" thickBot="1" x14ac:dyDescent="0.3">
      <c r="A328" s="478" t="s">
        <v>91</v>
      </c>
      <c r="B328" s="479"/>
      <c r="C328" s="480"/>
      <c r="D328" s="480"/>
      <c r="E328" s="480"/>
      <c r="F328" s="480"/>
      <c r="G328" s="482">
        <f>SUM(+G327+G322+G321+G317+G291+G259+G236+G212+G176+G154+G143+G136+G129+G122+G115+G108+G101+G94+G87+G80+G73+G66+G59+G52+G45+G38+G31+G24+G17)</f>
        <v>52937500</v>
      </c>
      <c r="H328" s="559">
        <f>SUM(H327+H322+H321+H317+H291+H259+H236+H212+H176+H154+H143+H136+H129+H122+H115+H108+H101+H94+H87+H80+H73+H66+H59+H52+H45+H38+H31+H24+H17)</f>
        <v>89748.914959989139</v>
      </c>
      <c r="I328" s="482">
        <f>I17+I24+I31+I38+I45+I52+I59+I66+I73+I80+I87+I94+I101+I108+I115+I122+I129+I136+I143+I154+I176+I212+I236+I259+I291+I317+I321+I322+I327</f>
        <v>1371570</v>
      </c>
      <c r="J328" s="482">
        <f>J17+J24+J31+J38+J45+J52+J59+J66+J73+J80+J87+J94+J101+J108+J115+J122+J129+J136+J143+J154+J176+J212+J236+J259+J291+J317+J321+J322+J327</f>
        <v>1095125</v>
      </c>
      <c r="K328" s="555"/>
      <c r="L328" s="555"/>
      <c r="M328" s="555"/>
      <c r="N328" s="555"/>
      <c r="O328" s="500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</row>
    <row r="329" spans="1:41" s="34" customFormat="1" x14ac:dyDescent="0.25">
      <c r="A329" s="238"/>
      <c r="B329" s="238"/>
      <c r="C329" s="238"/>
      <c r="D329" s="237"/>
      <c r="E329" s="237"/>
      <c r="F329" s="237"/>
      <c r="G329" s="237"/>
      <c r="H329" s="237"/>
      <c r="I329" s="564"/>
      <c r="J329" s="564"/>
      <c r="K329" s="564"/>
      <c r="L329" s="564"/>
      <c r="M329" s="564"/>
      <c r="N329" s="564"/>
      <c r="O329" s="564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</row>
    <row r="330" spans="1:41" s="34" customFormat="1" x14ac:dyDescent="0.25">
      <c r="A330" s="238" t="s">
        <v>1535</v>
      </c>
      <c r="B330" s="238"/>
      <c r="C330" s="237"/>
      <c r="D330" s="237"/>
      <c r="E330" s="237"/>
      <c r="F330" s="237"/>
      <c r="G330" s="237"/>
      <c r="H330" s="237"/>
      <c r="I330" s="564"/>
      <c r="J330" s="564"/>
      <c r="K330" s="564"/>
      <c r="L330" s="564"/>
      <c r="M330" s="564"/>
      <c r="N330" s="564"/>
      <c r="O330" s="564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</row>
    <row r="331" spans="1:41" s="34" customFormat="1" x14ac:dyDescent="0.25">
      <c r="A331" s="238" t="s">
        <v>1538</v>
      </c>
      <c r="B331" s="238"/>
      <c r="C331" s="237"/>
      <c r="D331" s="237"/>
      <c r="E331" s="237"/>
      <c r="F331" s="237"/>
      <c r="G331" s="237"/>
      <c r="H331" s="237"/>
      <c r="I331" s="564"/>
      <c r="J331" s="564"/>
      <c r="K331" s="564"/>
      <c r="L331" s="564"/>
      <c r="M331" s="564"/>
      <c r="N331" s="564"/>
      <c r="O331" s="564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</row>
    <row r="332" spans="1:41" s="34" customFormat="1" x14ac:dyDescent="0.25">
      <c r="A332" s="238"/>
      <c r="B332" s="238"/>
      <c r="C332" s="237"/>
      <c r="D332" s="237"/>
      <c r="E332" s="237"/>
      <c r="F332" s="237"/>
      <c r="G332" s="237"/>
      <c r="H332" s="237"/>
      <c r="I332" s="564"/>
      <c r="J332" s="564"/>
      <c r="K332" s="564"/>
      <c r="L332" s="564"/>
      <c r="M332" s="564"/>
      <c r="N332" s="564"/>
      <c r="O332" s="564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</row>
    <row r="333" spans="1:41" s="34" customFormat="1" x14ac:dyDescent="0.25">
      <c r="A333" s="238" t="s">
        <v>1331</v>
      </c>
      <c r="B333" s="238"/>
      <c r="C333" s="237"/>
      <c r="D333" s="237"/>
      <c r="E333" s="237"/>
      <c r="F333" s="237"/>
      <c r="G333" s="237"/>
      <c r="H333" s="237"/>
      <c r="I333" s="564" t="s">
        <v>1536</v>
      </c>
      <c r="J333" s="564"/>
      <c r="K333" s="564"/>
      <c r="L333" s="564"/>
      <c r="M333" s="564" t="s">
        <v>1530</v>
      </c>
      <c r="N333" s="564"/>
      <c r="O333" s="542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</row>
    <row r="334" spans="1:41" s="34" customFormat="1" x14ac:dyDescent="0.25">
      <c r="A334" s="237"/>
      <c r="B334" s="239"/>
      <c r="C334" s="237"/>
      <c r="D334" s="237"/>
      <c r="E334" s="237"/>
      <c r="F334" s="237"/>
      <c r="G334" s="237"/>
      <c r="H334" s="237"/>
      <c r="I334" s="564"/>
      <c r="J334" s="564"/>
      <c r="K334" s="564"/>
      <c r="L334" s="564"/>
      <c r="M334" s="564"/>
      <c r="N334" s="564"/>
      <c r="O334" s="542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</row>
    <row r="335" spans="1:41" s="34" customFormat="1" x14ac:dyDescent="0.25">
      <c r="A335" s="240" t="s">
        <v>1537</v>
      </c>
      <c r="B335" s="241"/>
      <c r="C335" s="240"/>
      <c r="D335" s="240"/>
      <c r="E335" s="240"/>
      <c r="F335" s="240"/>
      <c r="G335" s="240"/>
      <c r="H335" s="237"/>
      <c r="I335" s="564"/>
      <c r="J335" s="564"/>
      <c r="K335" s="564"/>
      <c r="L335" s="564"/>
      <c r="M335" s="564"/>
      <c r="N335" s="564"/>
      <c r="O335" s="564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</row>
    <row r="336" spans="1:41" s="34" customFormat="1" x14ac:dyDescent="0.25">
      <c r="A336" s="240"/>
      <c r="B336" s="241"/>
      <c r="C336" s="240"/>
      <c r="D336" s="240"/>
      <c r="E336" s="240"/>
      <c r="F336" s="240"/>
      <c r="G336" s="237"/>
      <c r="H336" s="237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</row>
    <row r="337" spans="1:40" s="34" customFormat="1" x14ac:dyDescent="0.25">
      <c r="A337" s="240"/>
      <c r="B337" s="241"/>
      <c r="C337" s="240"/>
      <c r="D337" s="240"/>
      <c r="E337" s="240"/>
      <c r="F337" s="240"/>
      <c r="G337" s="240"/>
      <c r="H337" s="236"/>
      <c r="I337" s="236"/>
      <c r="J337" s="236"/>
      <c r="K337" s="236"/>
      <c r="L337" s="236"/>
      <c r="M337" s="236"/>
      <c r="N337" s="236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</row>
    <row r="338" spans="1:40" s="34" customFormat="1" x14ac:dyDescent="0.25">
      <c r="A338" s="240"/>
      <c r="B338" s="241"/>
      <c r="C338" s="240"/>
      <c r="D338" s="240"/>
      <c r="E338" s="240"/>
      <c r="F338" s="240"/>
      <c r="G338" s="240"/>
      <c r="H338" s="236"/>
      <c r="I338" s="236"/>
      <c r="J338" s="236"/>
      <c r="K338" s="236"/>
      <c r="L338" s="236"/>
      <c r="M338" s="236"/>
      <c r="N338" s="236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</row>
    <row r="339" spans="1:40" s="34" customFormat="1" x14ac:dyDescent="0.25">
      <c r="A339" s="240"/>
      <c r="B339" s="241"/>
      <c r="C339" s="240"/>
      <c r="D339" s="240"/>
      <c r="E339" s="240"/>
      <c r="F339" s="240"/>
      <c r="G339" s="240"/>
      <c r="H339" s="236"/>
      <c r="I339" s="236"/>
      <c r="J339" s="236"/>
      <c r="K339" s="236"/>
      <c r="L339" s="236"/>
      <c r="M339" s="236"/>
      <c r="N339" s="236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</row>
    <row r="340" spans="1:40" s="34" customFormat="1" x14ac:dyDescent="0.25">
      <c r="A340" s="240"/>
      <c r="B340" s="241"/>
      <c r="C340" s="240"/>
      <c r="D340" s="240"/>
      <c r="E340" s="240"/>
      <c r="F340" s="240"/>
      <c r="G340" s="240"/>
      <c r="H340" s="236"/>
      <c r="I340" s="236"/>
      <c r="J340" s="236"/>
      <c r="K340" s="236"/>
      <c r="L340" s="236"/>
      <c r="M340" s="236"/>
      <c r="N340" s="236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</row>
    <row r="341" spans="1:40" s="34" customFormat="1" x14ac:dyDescent="0.25">
      <c r="A341" s="240"/>
      <c r="B341" s="241"/>
      <c r="C341" s="240"/>
      <c r="D341" s="240"/>
      <c r="E341" s="240"/>
      <c r="F341" s="240"/>
      <c r="G341" s="240"/>
      <c r="H341" s="236"/>
      <c r="I341" s="236"/>
      <c r="J341" s="236"/>
      <c r="K341" s="236"/>
      <c r="L341" s="236"/>
      <c r="M341" s="236"/>
      <c r="N341" s="236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</row>
    <row r="342" spans="1:40" s="34" customFormat="1" x14ac:dyDescent="0.25">
      <c r="A342" s="240"/>
      <c r="B342" s="241"/>
      <c r="C342" s="240"/>
      <c r="D342" s="240"/>
      <c r="E342" s="240"/>
      <c r="F342" s="240"/>
      <c r="G342" s="240"/>
      <c r="H342" s="236"/>
      <c r="I342" s="236"/>
      <c r="J342" s="236"/>
      <c r="K342" s="236"/>
      <c r="L342" s="236"/>
      <c r="M342" s="236"/>
      <c r="N342" s="236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</row>
    <row r="343" spans="1:40" s="34" customFormat="1" x14ac:dyDescent="0.25">
      <c r="A343" s="240"/>
      <c r="B343" s="241"/>
      <c r="C343" s="240"/>
      <c r="D343" s="240"/>
      <c r="E343" s="240"/>
      <c r="F343" s="240"/>
      <c r="G343" s="240"/>
      <c r="H343" s="236"/>
      <c r="I343" s="236"/>
      <c r="J343" s="236"/>
      <c r="K343" s="236"/>
      <c r="L343" s="236"/>
      <c r="M343" s="236"/>
      <c r="N343" s="236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</row>
    <row r="344" spans="1:40" s="34" customFormat="1" x14ac:dyDescent="0.25">
      <c r="A344" s="240"/>
      <c r="B344" s="241"/>
      <c r="C344" s="240"/>
      <c r="D344" s="240"/>
      <c r="E344" s="240"/>
      <c r="F344" s="240"/>
      <c r="G344" s="240"/>
      <c r="H344" s="236"/>
      <c r="I344" s="236"/>
      <c r="J344" s="236"/>
      <c r="K344" s="236"/>
      <c r="L344" s="236"/>
      <c r="M344" s="236"/>
      <c r="N344" s="236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</row>
    <row r="345" spans="1:40" s="34" customFormat="1" x14ac:dyDescent="0.25">
      <c r="A345" s="240"/>
      <c r="B345" s="241"/>
      <c r="C345" s="240"/>
      <c r="D345" s="240"/>
      <c r="E345" s="240"/>
      <c r="F345" s="240"/>
      <c r="G345" s="240"/>
      <c r="H345" s="236"/>
      <c r="I345" s="236"/>
      <c r="J345" s="236"/>
      <c r="K345" s="236"/>
      <c r="L345" s="236"/>
      <c r="M345" s="236"/>
      <c r="N345" s="236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</row>
    <row r="346" spans="1:40" s="34" customFormat="1" x14ac:dyDescent="0.25">
      <c r="A346" s="240"/>
      <c r="B346" s="241"/>
      <c r="C346" s="240"/>
      <c r="D346" s="240"/>
      <c r="E346" s="240"/>
      <c r="F346" s="240"/>
      <c r="G346" s="240"/>
      <c r="H346" s="236"/>
      <c r="I346" s="236"/>
      <c r="J346" s="236"/>
      <c r="K346" s="236"/>
      <c r="L346" s="236"/>
      <c r="M346" s="236"/>
      <c r="N346" s="23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</row>
    <row r="347" spans="1:40" x14ac:dyDescent="0.25">
      <c r="B347" s="121"/>
    </row>
    <row r="348" spans="1:40" x14ac:dyDescent="0.25">
      <c r="B348" s="121"/>
    </row>
  </sheetData>
  <mergeCells count="6">
    <mergeCell ref="O7:O8"/>
    <mergeCell ref="A155:E155"/>
    <mergeCell ref="A176:E176"/>
    <mergeCell ref="A291:E291"/>
    <mergeCell ref="A260:E260"/>
    <mergeCell ref="A7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AF22A"/>
  </sheetPr>
  <dimension ref="A1:BO166"/>
  <sheetViews>
    <sheetView topLeftCell="A48" zoomScale="90" zoomScaleNormal="90" workbookViewId="0">
      <selection activeCell="D62" sqref="D62"/>
    </sheetView>
  </sheetViews>
  <sheetFormatPr baseColWidth="10" defaultColWidth="10.625" defaultRowHeight="15.75" x14ac:dyDescent="0.25"/>
  <cols>
    <col min="1" max="1" width="18.5" style="48" customWidth="1"/>
    <col min="2" max="2" width="62.375" style="48" customWidth="1"/>
    <col min="3" max="3" width="23.75" style="48" customWidth="1"/>
    <col min="4" max="4" width="18.875" style="48" customWidth="1"/>
    <col min="5" max="5" width="12.375" style="48" customWidth="1"/>
    <col min="6" max="6" width="17" style="48" customWidth="1"/>
    <col min="7" max="8" width="25.5" style="48" customWidth="1"/>
    <col min="9" max="10" width="22.75" customWidth="1"/>
    <col min="11" max="11" width="16.125" customWidth="1"/>
    <col min="12" max="257" width="8.875" customWidth="1"/>
  </cols>
  <sheetData>
    <row r="1" spans="1:15" x14ac:dyDescent="0.25">
      <c r="A1" s="207" t="s">
        <v>1344</v>
      </c>
      <c r="B1" s="207"/>
      <c r="C1" s="207"/>
      <c r="D1" s="207"/>
      <c r="E1" s="207"/>
      <c r="F1" s="207"/>
      <c r="G1" s="207"/>
      <c r="H1" s="207"/>
      <c r="I1" s="208"/>
      <c r="J1" s="208"/>
      <c r="K1" s="208"/>
      <c r="L1" s="208"/>
      <c r="M1" s="208"/>
      <c r="N1" s="208"/>
      <c r="O1" s="531"/>
    </row>
    <row r="2" spans="1:15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208"/>
      <c r="J2" s="208"/>
      <c r="K2" s="208"/>
      <c r="L2" s="208"/>
      <c r="M2" s="208"/>
      <c r="N2" s="208"/>
      <c r="O2" s="531"/>
    </row>
    <row r="3" spans="1:15" x14ac:dyDescent="0.25">
      <c r="A3" s="207" t="s">
        <v>1520</v>
      </c>
      <c r="B3" s="207"/>
      <c r="C3" s="207"/>
      <c r="D3" s="207"/>
      <c r="E3" s="207"/>
      <c r="F3" s="207"/>
      <c r="G3" s="207"/>
      <c r="H3" s="207"/>
      <c r="I3" s="208"/>
      <c r="J3" s="208"/>
      <c r="K3" s="208"/>
      <c r="L3" s="208"/>
      <c r="M3" s="208"/>
      <c r="N3" s="208"/>
      <c r="O3" s="531"/>
    </row>
    <row r="4" spans="1:15" ht="16.5" thickBot="1" x14ac:dyDescent="0.3">
      <c r="A4" s="207" t="s">
        <v>1</v>
      </c>
      <c r="B4" s="207"/>
      <c r="C4" s="207"/>
      <c r="D4" s="207"/>
      <c r="E4" s="207"/>
      <c r="F4" s="207"/>
      <c r="G4" s="207"/>
      <c r="H4" s="207"/>
      <c r="I4" s="208"/>
      <c r="J4" s="208"/>
      <c r="K4" s="208"/>
      <c r="L4" s="208"/>
      <c r="M4" s="208"/>
      <c r="N4" s="208"/>
      <c r="O4" s="531"/>
    </row>
    <row r="5" spans="1:15" ht="19.5" thickBot="1" x14ac:dyDescent="0.3">
      <c r="A5" s="207" t="s">
        <v>485</v>
      </c>
      <c r="B5" s="207"/>
      <c r="C5" s="264">
        <f>G159</f>
        <v>16578650</v>
      </c>
      <c r="D5" s="340">
        <f>H159</f>
        <v>28107.029024820287</v>
      </c>
      <c r="E5" s="207"/>
      <c r="F5" s="207"/>
      <c r="G5" s="207"/>
      <c r="H5" s="207"/>
      <c r="I5" s="208"/>
      <c r="J5" s="208"/>
      <c r="K5" s="208"/>
      <c r="L5" s="208"/>
      <c r="M5" s="208"/>
      <c r="N5" s="208"/>
      <c r="O5" s="208"/>
    </row>
    <row r="6" spans="1:15" ht="16.5" thickBot="1" x14ac:dyDescent="0.3">
      <c r="A6" s="207" t="s">
        <v>1539</v>
      </c>
      <c r="B6" s="207"/>
      <c r="C6" s="207"/>
      <c r="D6" s="207"/>
      <c r="E6" s="207"/>
      <c r="F6" s="207"/>
      <c r="G6" s="207"/>
      <c r="H6" s="207"/>
      <c r="I6" s="208"/>
      <c r="J6" s="208"/>
      <c r="K6" s="208"/>
      <c r="L6" s="208"/>
      <c r="M6" s="208"/>
      <c r="N6" s="208"/>
      <c r="O6" s="208"/>
    </row>
    <row r="7" spans="1:15" ht="17.25" customHeight="1" thickBot="1" x14ac:dyDescent="0.3">
      <c r="A7" s="773" t="s">
        <v>3</v>
      </c>
      <c r="B7" s="774"/>
      <c r="C7" s="774"/>
      <c r="D7" s="774"/>
      <c r="E7" s="774"/>
      <c r="F7" s="774"/>
      <c r="G7" s="570"/>
      <c r="H7" s="571"/>
      <c r="I7" s="535" t="s">
        <v>4</v>
      </c>
      <c r="J7" s="534"/>
      <c r="K7" s="535"/>
      <c r="L7" s="535"/>
      <c r="M7" s="535"/>
      <c r="N7" s="536"/>
      <c r="O7" s="775" t="s">
        <v>5</v>
      </c>
    </row>
    <row r="8" spans="1:15" ht="26.25" thickBot="1" x14ac:dyDescent="0.3">
      <c r="A8" s="211" t="s">
        <v>1540</v>
      </c>
      <c r="B8" s="212" t="s">
        <v>1533</v>
      </c>
      <c r="C8" s="212" t="s">
        <v>8</v>
      </c>
      <c r="D8" s="213" t="s">
        <v>9</v>
      </c>
      <c r="E8" s="212" t="s">
        <v>10</v>
      </c>
      <c r="F8" s="213" t="s">
        <v>11</v>
      </c>
      <c r="G8" s="214" t="s">
        <v>12</v>
      </c>
      <c r="H8" s="579" t="s">
        <v>1532</v>
      </c>
      <c r="I8" s="580" t="s">
        <v>1533</v>
      </c>
      <c r="J8" s="543" t="s">
        <v>7</v>
      </c>
      <c r="K8" s="540" t="s">
        <v>13</v>
      </c>
      <c r="L8" s="540" t="s">
        <v>14</v>
      </c>
      <c r="M8" s="540" t="s">
        <v>15</v>
      </c>
      <c r="N8" s="541" t="s">
        <v>16</v>
      </c>
      <c r="O8" s="776"/>
    </row>
    <row r="9" spans="1:15" ht="54.75" thickBot="1" x14ac:dyDescent="0.3">
      <c r="A9" s="590"/>
      <c r="B9" s="591" t="s">
        <v>428</v>
      </c>
      <c r="C9" s="589"/>
      <c r="D9" s="589"/>
      <c r="E9" s="589"/>
      <c r="F9" s="589"/>
      <c r="G9" s="538"/>
      <c r="H9" s="539"/>
      <c r="I9" s="695" t="s">
        <v>1613</v>
      </c>
      <c r="J9" s="696" t="s">
        <v>1624</v>
      </c>
      <c r="K9" s="10"/>
      <c r="L9" s="215"/>
      <c r="M9" s="215"/>
      <c r="N9" s="216"/>
      <c r="O9" s="582"/>
    </row>
    <row r="10" spans="1:15" x14ac:dyDescent="0.25">
      <c r="A10" s="217"/>
      <c r="B10" s="218"/>
      <c r="C10" s="218"/>
      <c r="D10" s="219"/>
      <c r="E10" s="218"/>
      <c r="F10" s="219"/>
      <c r="G10" s="220"/>
      <c r="H10" s="220"/>
      <c r="I10" s="10"/>
      <c r="J10" s="10"/>
      <c r="K10" s="10"/>
      <c r="L10" s="540"/>
      <c r="M10" s="540"/>
      <c r="N10" s="541"/>
      <c r="O10" s="583"/>
    </row>
    <row r="11" spans="1:15" x14ac:dyDescent="0.25">
      <c r="A11" s="186">
        <v>1</v>
      </c>
      <c r="B11" s="187" t="s">
        <v>723</v>
      </c>
      <c r="C11" s="221" t="s">
        <v>28</v>
      </c>
      <c r="D11" s="222">
        <v>4</v>
      </c>
      <c r="E11" s="221">
        <v>10</v>
      </c>
      <c r="F11" s="223">
        <v>7500</v>
      </c>
      <c r="G11" s="223">
        <f t="shared" ref="G11:G16" si="0">D11*E11*F11</f>
        <v>300000</v>
      </c>
      <c r="H11" s="227">
        <f>G11/589.84</f>
        <v>508.612505086125</v>
      </c>
      <c r="I11" s="689">
        <f>G11*0.03</f>
        <v>9000</v>
      </c>
      <c r="J11" s="642">
        <f>1600*D11</f>
        <v>6400</v>
      </c>
      <c r="K11" s="642">
        <f t="shared" ref="K11:K16" si="1">G11/D11</f>
        <v>75000</v>
      </c>
      <c r="L11" s="522"/>
      <c r="M11" s="522"/>
      <c r="N11" s="522"/>
      <c r="O11" s="572"/>
    </row>
    <row r="12" spans="1:15" x14ac:dyDescent="0.25">
      <c r="A12" s="188">
        <v>2</v>
      </c>
      <c r="B12" s="189" t="s">
        <v>724</v>
      </c>
      <c r="C12" s="225" t="s">
        <v>28</v>
      </c>
      <c r="D12" s="226">
        <v>2</v>
      </c>
      <c r="E12" s="221">
        <v>10</v>
      </c>
      <c r="F12" s="227">
        <v>3000</v>
      </c>
      <c r="G12" s="227">
        <f t="shared" si="0"/>
        <v>60000</v>
      </c>
      <c r="H12" s="227">
        <f>G12/589.84</f>
        <v>101.722501017225</v>
      </c>
      <c r="I12" s="642">
        <f t="shared" ref="I12:I16" si="2">G12*0.03</f>
        <v>1800</v>
      </c>
      <c r="J12" s="642">
        <f>1050*D12</f>
        <v>2100</v>
      </c>
      <c r="K12" s="642">
        <f t="shared" si="1"/>
        <v>30000</v>
      </c>
      <c r="L12" s="522"/>
      <c r="M12" s="522"/>
      <c r="N12" s="522"/>
      <c r="O12" s="572"/>
    </row>
    <row r="13" spans="1:15" x14ac:dyDescent="0.25">
      <c r="A13" s="188">
        <v>3</v>
      </c>
      <c r="B13" s="189" t="s">
        <v>725</v>
      </c>
      <c r="C13" s="225" t="s">
        <v>28</v>
      </c>
      <c r="D13" s="226">
        <v>1</v>
      </c>
      <c r="E13" s="221">
        <v>10</v>
      </c>
      <c r="F13" s="227">
        <v>7500</v>
      </c>
      <c r="G13" s="227">
        <f t="shared" si="0"/>
        <v>75000</v>
      </c>
      <c r="H13" s="227">
        <f t="shared" ref="H13:H54" si="3">G13/589.84</f>
        <v>127.15312627153125</v>
      </c>
      <c r="I13" s="642">
        <f t="shared" si="2"/>
        <v>2250</v>
      </c>
      <c r="J13" s="642">
        <f>1600*D13</f>
        <v>1600</v>
      </c>
      <c r="K13" s="642">
        <f t="shared" si="1"/>
        <v>75000</v>
      </c>
      <c r="L13" s="522"/>
      <c r="M13" s="522"/>
      <c r="N13" s="522"/>
      <c r="O13" s="572"/>
    </row>
    <row r="14" spans="1:15" x14ac:dyDescent="0.25">
      <c r="A14" s="188">
        <v>4</v>
      </c>
      <c r="B14" s="189" t="s">
        <v>1365</v>
      </c>
      <c r="C14" s="225" t="s">
        <v>28</v>
      </c>
      <c r="D14" s="226">
        <v>19</v>
      </c>
      <c r="E14" s="221">
        <v>7</v>
      </c>
      <c r="F14" s="227">
        <v>3000</v>
      </c>
      <c r="G14" s="227">
        <f t="shared" si="0"/>
        <v>399000</v>
      </c>
      <c r="H14" s="227">
        <f t="shared" si="3"/>
        <v>676.45463176454632</v>
      </c>
      <c r="I14" s="642">
        <f t="shared" si="2"/>
        <v>11970</v>
      </c>
      <c r="J14" s="642">
        <f>550*D14</f>
        <v>10450</v>
      </c>
      <c r="K14" s="642">
        <f t="shared" si="1"/>
        <v>21000</v>
      </c>
      <c r="L14" s="522"/>
      <c r="M14" s="522"/>
      <c r="N14" s="522"/>
      <c r="O14" s="572"/>
    </row>
    <row r="15" spans="1:15" x14ac:dyDescent="0.25">
      <c r="A15" s="188">
        <v>5</v>
      </c>
      <c r="B15" s="189" t="s">
        <v>1345</v>
      </c>
      <c r="C15" s="225" t="s">
        <v>28</v>
      </c>
      <c r="D15" s="226">
        <v>1</v>
      </c>
      <c r="E15" s="221">
        <v>10</v>
      </c>
      <c r="F15" s="227">
        <v>8000</v>
      </c>
      <c r="G15" s="227">
        <f t="shared" si="0"/>
        <v>80000</v>
      </c>
      <c r="H15" s="227">
        <f t="shared" ref="H15" si="4">G15/589.84</f>
        <v>135.6300013563</v>
      </c>
      <c r="I15" s="642">
        <f t="shared" si="2"/>
        <v>2400</v>
      </c>
      <c r="J15" s="642">
        <f>1600*D15</f>
        <v>1600</v>
      </c>
      <c r="K15" s="642">
        <f t="shared" si="1"/>
        <v>80000</v>
      </c>
      <c r="L15" s="522"/>
      <c r="M15" s="522"/>
      <c r="N15" s="522"/>
      <c r="O15" s="572"/>
    </row>
    <row r="16" spans="1:15" ht="16.5" thickBot="1" x14ac:dyDescent="0.3">
      <c r="A16" s="188">
        <v>6</v>
      </c>
      <c r="B16" s="189" t="s">
        <v>726</v>
      </c>
      <c r="C16" s="225" t="s">
        <v>28</v>
      </c>
      <c r="D16" s="226">
        <v>1</v>
      </c>
      <c r="E16" s="221">
        <v>10</v>
      </c>
      <c r="F16" s="227">
        <v>8000</v>
      </c>
      <c r="G16" s="227">
        <f t="shared" si="0"/>
        <v>80000</v>
      </c>
      <c r="H16" s="227">
        <f t="shared" si="3"/>
        <v>135.6300013563</v>
      </c>
      <c r="I16" s="642">
        <f t="shared" si="2"/>
        <v>2400</v>
      </c>
      <c r="J16" s="642">
        <f>1600*D16</f>
        <v>1600</v>
      </c>
      <c r="K16" s="642">
        <f t="shared" si="1"/>
        <v>80000</v>
      </c>
      <c r="L16" s="522"/>
      <c r="M16" s="522"/>
      <c r="N16" s="522"/>
      <c r="O16" s="572"/>
    </row>
    <row r="17" spans="1:15" ht="18.75" thickBot="1" x14ac:dyDescent="0.3">
      <c r="A17" s="341" t="s">
        <v>1399</v>
      </c>
      <c r="B17" s="342"/>
      <c r="C17" s="343"/>
      <c r="D17" s="343"/>
      <c r="E17" s="343"/>
      <c r="F17" s="344"/>
      <c r="G17" s="344">
        <f>SUM(G11:G16)</f>
        <v>994000</v>
      </c>
      <c r="H17" s="345">
        <f>SUM(H11:H16)</f>
        <v>1685.2027668520277</v>
      </c>
      <c r="I17" s="263">
        <f>SUM(I11:I16)</f>
        <v>29820</v>
      </c>
      <c r="J17" s="263">
        <f>SUM(J11:J16)</f>
        <v>23750</v>
      </c>
      <c r="K17" s="12"/>
      <c r="L17" s="522"/>
      <c r="M17" s="522"/>
      <c r="N17" s="522"/>
      <c r="O17" s="572"/>
    </row>
    <row r="18" spans="1:15" x14ac:dyDescent="0.25">
      <c r="A18" s="188">
        <v>1</v>
      </c>
      <c r="B18" s="189" t="s">
        <v>727</v>
      </c>
      <c r="C18" s="225" t="s">
        <v>28</v>
      </c>
      <c r="D18" s="226">
        <v>4</v>
      </c>
      <c r="E18" s="221">
        <v>10</v>
      </c>
      <c r="F18" s="227">
        <v>7500</v>
      </c>
      <c r="G18" s="227">
        <f t="shared" ref="G18:G23" si="5">D18*E18*F18</f>
        <v>300000</v>
      </c>
      <c r="H18" s="227">
        <f t="shared" si="3"/>
        <v>508.612505086125</v>
      </c>
      <c r="I18" s="689">
        <f t="shared" ref="I18:I23" si="6">G18*0.03</f>
        <v>9000</v>
      </c>
      <c r="J18" s="642">
        <f>1600*D18</f>
        <v>6400</v>
      </c>
      <c r="K18" s="642">
        <f t="shared" ref="K18:K23" si="7">G18/D18</f>
        <v>75000</v>
      </c>
      <c r="L18" s="522"/>
      <c r="M18" s="522"/>
      <c r="N18" s="522"/>
      <c r="O18" s="572"/>
    </row>
    <row r="19" spans="1:15" x14ac:dyDescent="0.25">
      <c r="A19" s="188">
        <v>2</v>
      </c>
      <c r="B19" s="189" t="s">
        <v>728</v>
      </c>
      <c r="C19" s="225" t="s">
        <v>28</v>
      </c>
      <c r="D19" s="226">
        <v>2</v>
      </c>
      <c r="E19" s="221">
        <v>10</v>
      </c>
      <c r="F19" s="227">
        <v>3000</v>
      </c>
      <c r="G19" s="227">
        <f t="shared" si="5"/>
        <v>60000</v>
      </c>
      <c r="H19" s="227">
        <f t="shared" si="3"/>
        <v>101.722501017225</v>
      </c>
      <c r="I19" s="642">
        <f t="shared" si="6"/>
        <v>1800</v>
      </c>
      <c r="J19" s="642">
        <f>1050*D19</f>
        <v>2100</v>
      </c>
      <c r="K19" s="642">
        <f t="shared" si="7"/>
        <v>30000</v>
      </c>
      <c r="L19" s="522"/>
      <c r="M19" s="522"/>
      <c r="N19" s="522"/>
      <c r="O19" s="572"/>
    </row>
    <row r="20" spans="1:15" x14ac:dyDescent="0.25">
      <c r="A20" s="188">
        <v>3</v>
      </c>
      <c r="B20" s="189" t="s">
        <v>729</v>
      </c>
      <c r="C20" s="225" t="s">
        <v>28</v>
      </c>
      <c r="D20" s="226">
        <v>1</v>
      </c>
      <c r="E20" s="221">
        <v>10</v>
      </c>
      <c r="F20" s="227">
        <v>7500</v>
      </c>
      <c r="G20" s="227">
        <f t="shared" si="5"/>
        <v>75000</v>
      </c>
      <c r="H20" s="227">
        <f t="shared" si="3"/>
        <v>127.15312627153125</v>
      </c>
      <c r="I20" s="642">
        <f t="shared" si="6"/>
        <v>2250</v>
      </c>
      <c r="J20" s="642">
        <f>1600*D20</f>
        <v>1600</v>
      </c>
      <c r="K20" s="642">
        <f t="shared" si="7"/>
        <v>75000</v>
      </c>
      <c r="L20" s="522"/>
      <c r="M20" s="522"/>
      <c r="N20" s="522"/>
      <c r="O20" s="572"/>
    </row>
    <row r="21" spans="1:15" x14ac:dyDescent="0.25">
      <c r="A21" s="188">
        <v>4</v>
      </c>
      <c r="B21" s="189" t="s">
        <v>1365</v>
      </c>
      <c r="C21" s="225" t="s">
        <v>28</v>
      </c>
      <c r="D21" s="226">
        <v>14</v>
      </c>
      <c r="E21" s="221">
        <v>7</v>
      </c>
      <c r="F21" s="227">
        <v>3000</v>
      </c>
      <c r="G21" s="227">
        <f t="shared" si="5"/>
        <v>294000</v>
      </c>
      <c r="H21" s="227">
        <f t="shared" si="3"/>
        <v>498.44025498440254</v>
      </c>
      <c r="I21" s="642">
        <f t="shared" si="6"/>
        <v>8820</v>
      </c>
      <c r="J21" s="642">
        <f>550*D21</f>
        <v>7700</v>
      </c>
      <c r="K21" s="642">
        <f t="shared" si="7"/>
        <v>21000</v>
      </c>
      <c r="L21" s="522"/>
      <c r="M21" s="522"/>
      <c r="N21" s="522"/>
      <c r="O21" s="572"/>
    </row>
    <row r="22" spans="1:15" x14ac:dyDescent="0.25">
      <c r="A22" s="188">
        <v>5</v>
      </c>
      <c r="B22" s="189" t="s">
        <v>1345</v>
      </c>
      <c r="C22" s="225" t="s">
        <v>28</v>
      </c>
      <c r="D22" s="226">
        <v>1</v>
      </c>
      <c r="E22" s="221">
        <v>10</v>
      </c>
      <c r="F22" s="227">
        <v>8000</v>
      </c>
      <c r="G22" s="227">
        <f t="shared" si="5"/>
        <v>80000</v>
      </c>
      <c r="H22" s="227">
        <f t="shared" ref="H22" si="8">G22/589.84</f>
        <v>135.6300013563</v>
      </c>
      <c r="I22" s="642">
        <f t="shared" si="6"/>
        <v>2400</v>
      </c>
      <c r="J22" s="642">
        <f>1600*D22</f>
        <v>1600</v>
      </c>
      <c r="K22" s="642">
        <f t="shared" si="7"/>
        <v>80000</v>
      </c>
      <c r="L22" s="522"/>
      <c r="M22" s="522"/>
      <c r="N22" s="522"/>
      <c r="O22" s="572"/>
    </row>
    <row r="23" spans="1:15" ht="16.5" thickBot="1" x14ac:dyDescent="0.3">
      <c r="A23" s="188">
        <v>6</v>
      </c>
      <c r="B23" s="189" t="s">
        <v>730</v>
      </c>
      <c r="C23" s="225" t="s">
        <v>28</v>
      </c>
      <c r="D23" s="226">
        <v>1</v>
      </c>
      <c r="E23" s="221">
        <v>10</v>
      </c>
      <c r="F23" s="227">
        <v>8000</v>
      </c>
      <c r="G23" s="227">
        <f t="shared" si="5"/>
        <v>80000</v>
      </c>
      <c r="H23" s="227">
        <f t="shared" si="3"/>
        <v>135.6300013563</v>
      </c>
      <c r="I23" s="642">
        <f t="shared" si="6"/>
        <v>2400</v>
      </c>
      <c r="J23" s="642">
        <f>1600*D23</f>
        <v>1600</v>
      </c>
      <c r="K23" s="642">
        <f t="shared" si="7"/>
        <v>80000</v>
      </c>
      <c r="L23" s="522"/>
      <c r="M23" s="522"/>
      <c r="N23" s="522"/>
      <c r="O23" s="572"/>
    </row>
    <row r="24" spans="1:15" ht="18.75" thickBot="1" x14ac:dyDescent="0.3">
      <c r="A24" s="341" t="s">
        <v>1399</v>
      </c>
      <c r="B24" s="342"/>
      <c r="C24" s="343"/>
      <c r="D24" s="343"/>
      <c r="E24" s="343"/>
      <c r="F24" s="344"/>
      <c r="G24" s="344">
        <f>SUM(G18:G23)</f>
        <v>889000</v>
      </c>
      <c r="H24" s="345">
        <f>SUM(H18:H23)</f>
        <v>1507.1883900718838</v>
      </c>
      <c r="I24" s="263">
        <f>SUM(I18:I23)</f>
        <v>26670</v>
      </c>
      <c r="J24" s="263">
        <f>SUM(J18:J23)</f>
        <v>21000</v>
      </c>
      <c r="K24" s="12"/>
      <c r="L24" s="522"/>
      <c r="M24" s="522"/>
      <c r="N24" s="522"/>
      <c r="O24" s="572"/>
    </row>
    <row r="25" spans="1:15" x14ac:dyDescent="0.25">
      <c r="A25" s="188">
        <v>1</v>
      </c>
      <c r="B25" s="189" t="s">
        <v>731</v>
      </c>
      <c r="C25" s="225" t="s">
        <v>28</v>
      </c>
      <c r="D25" s="226">
        <v>12</v>
      </c>
      <c r="E25" s="221">
        <v>10</v>
      </c>
      <c r="F25" s="227">
        <v>7500</v>
      </c>
      <c r="G25" s="227">
        <f t="shared" ref="G25:G30" si="9">D25*E25*F25</f>
        <v>900000</v>
      </c>
      <c r="H25" s="227">
        <f t="shared" si="3"/>
        <v>1525.8375152583751</v>
      </c>
      <c r="I25" s="642">
        <f t="shared" ref="I25:I30" si="10">G25*0.03</f>
        <v>27000</v>
      </c>
      <c r="J25" s="642">
        <f>1600*D25</f>
        <v>19200</v>
      </c>
      <c r="K25" s="642">
        <f t="shared" ref="K25:K30" si="11">G25/D25</f>
        <v>75000</v>
      </c>
      <c r="L25" s="522"/>
      <c r="M25" s="522"/>
      <c r="N25" s="522"/>
      <c r="O25" s="572"/>
    </row>
    <row r="26" spans="1:15" x14ac:dyDescent="0.25">
      <c r="A26" s="188">
        <v>2</v>
      </c>
      <c r="B26" s="189" t="s">
        <v>732</v>
      </c>
      <c r="C26" s="225" t="s">
        <v>28</v>
      </c>
      <c r="D26" s="226">
        <v>6</v>
      </c>
      <c r="E26" s="221">
        <v>10</v>
      </c>
      <c r="F26" s="227">
        <v>3000</v>
      </c>
      <c r="G26" s="227">
        <f t="shared" si="9"/>
        <v>180000</v>
      </c>
      <c r="H26" s="227">
        <f t="shared" si="3"/>
        <v>305.167503051675</v>
      </c>
      <c r="I26" s="642">
        <f t="shared" si="10"/>
        <v>5400</v>
      </c>
      <c r="J26" s="642">
        <f>1050*D26</f>
        <v>6300</v>
      </c>
      <c r="K26" s="642">
        <f t="shared" si="11"/>
        <v>30000</v>
      </c>
      <c r="L26" s="522"/>
      <c r="M26" s="522"/>
      <c r="N26" s="522"/>
      <c r="O26" s="572"/>
    </row>
    <row r="27" spans="1:15" x14ac:dyDescent="0.25">
      <c r="A27" s="188">
        <v>3</v>
      </c>
      <c r="B27" s="189" t="s">
        <v>733</v>
      </c>
      <c r="C27" s="225" t="s">
        <v>28</v>
      </c>
      <c r="D27" s="226">
        <v>1</v>
      </c>
      <c r="E27" s="221">
        <v>10</v>
      </c>
      <c r="F27" s="227">
        <v>7500</v>
      </c>
      <c r="G27" s="227">
        <f t="shared" si="9"/>
        <v>75000</v>
      </c>
      <c r="H27" s="227">
        <f t="shared" si="3"/>
        <v>127.15312627153125</v>
      </c>
      <c r="I27" s="642">
        <f t="shared" si="10"/>
        <v>2250</v>
      </c>
      <c r="J27" s="642">
        <f>1600*D27</f>
        <v>1600</v>
      </c>
      <c r="K27" s="642">
        <f t="shared" si="11"/>
        <v>75000</v>
      </c>
      <c r="L27" s="522"/>
      <c r="M27" s="522"/>
      <c r="N27" s="522"/>
      <c r="O27" s="572"/>
    </row>
    <row r="28" spans="1:15" x14ac:dyDescent="0.25">
      <c r="A28" s="188">
        <v>4</v>
      </c>
      <c r="B28" s="189" t="s">
        <v>1365</v>
      </c>
      <c r="C28" s="225" t="s">
        <v>28</v>
      </c>
      <c r="D28" s="226">
        <v>31</v>
      </c>
      <c r="E28" s="221">
        <v>7</v>
      </c>
      <c r="F28" s="227">
        <v>3000</v>
      </c>
      <c r="G28" s="227">
        <f t="shared" si="9"/>
        <v>651000</v>
      </c>
      <c r="H28" s="227">
        <f t="shared" si="3"/>
        <v>1103.6891360368913</v>
      </c>
      <c r="I28" s="642">
        <f t="shared" si="10"/>
        <v>19530</v>
      </c>
      <c r="J28" s="642">
        <f>550*D28</f>
        <v>17050</v>
      </c>
      <c r="K28" s="642">
        <f t="shared" si="11"/>
        <v>21000</v>
      </c>
      <c r="L28" s="522"/>
      <c r="M28" s="522"/>
      <c r="N28" s="522"/>
      <c r="O28" s="572"/>
    </row>
    <row r="29" spans="1:15" x14ac:dyDescent="0.25">
      <c r="A29" s="188">
        <v>5</v>
      </c>
      <c r="B29" s="189" t="s">
        <v>1345</v>
      </c>
      <c r="C29" s="225" t="s">
        <v>28</v>
      </c>
      <c r="D29" s="226">
        <v>1</v>
      </c>
      <c r="E29" s="221">
        <v>10</v>
      </c>
      <c r="F29" s="227">
        <v>8000</v>
      </c>
      <c r="G29" s="227">
        <f t="shared" si="9"/>
        <v>80000</v>
      </c>
      <c r="H29" s="227">
        <f t="shared" ref="H29" si="12">G29/589.84</f>
        <v>135.6300013563</v>
      </c>
      <c r="I29" s="642">
        <f t="shared" si="10"/>
        <v>2400</v>
      </c>
      <c r="J29" s="642">
        <f>1600*D29</f>
        <v>1600</v>
      </c>
      <c r="K29" s="642">
        <f t="shared" si="11"/>
        <v>80000</v>
      </c>
      <c r="L29" s="522"/>
      <c r="M29" s="522"/>
      <c r="N29" s="522"/>
      <c r="O29" s="572"/>
    </row>
    <row r="30" spans="1:15" ht="16.5" thickBot="1" x14ac:dyDescent="0.3">
      <c r="A30" s="188">
        <v>6</v>
      </c>
      <c r="B30" s="189" t="s">
        <v>734</v>
      </c>
      <c r="C30" s="225" t="s">
        <v>28</v>
      </c>
      <c r="D30" s="226">
        <v>2</v>
      </c>
      <c r="E30" s="221">
        <v>10</v>
      </c>
      <c r="F30" s="227">
        <v>8000</v>
      </c>
      <c r="G30" s="227">
        <f t="shared" si="9"/>
        <v>160000</v>
      </c>
      <c r="H30" s="227">
        <f t="shared" si="3"/>
        <v>271.2600027126</v>
      </c>
      <c r="I30" s="642">
        <f t="shared" si="10"/>
        <v>4800</v>
      </c>
      <c r="J30" s="642">
        <f>1600*D30</f>
        <v>3200</v>
      </c>
      <c r="K30" s="642">
        <f t="shared" si="11"/>
        <v>80000</v>
      </c>
      <c r="L30" s="522"/>
      <c r="M30" s="522"/>
      <c r="N30" s="522"/>
      <c r="O30" s="572"/>
    </row>
    <row r="31" spans="1:15" ht="18.75" thickBot="1" x14ac:dyDescent="0.3">
      <c r="A31" s="341" t="s">
        <v>1399</v>
      </c>
      <c r="B31" s="342"/>
      <c r="C31" s="343"/>
      <c r="D31" s="343"/>
      <c r="E31" s="343"/>
      <c r="F31" s="344"/>
      <c r="G31" s="344">
        <f>SUM(G25:G30)</f>
        <v>2046000</v>
      </c>
      <c r="H31" s="345">
        <f>SUM(H25:H30)</f>
        <v>3468.7372846873727</v>
      </c>
      <c r="I31" s="263">
        <f>SUM(I25:I30)</f>
        <v>61380</v>
      </c>
      <c r="J31" s="263">
        <f>SUM(J25:J30)</f>
        <v>48950</v>
      </c>
      <c r="K31" s="12"/>
      <c r="L31" s="522"/>
      <c r="M31" s="522"/>
      <c r="N31" s="522"/>
      <c r="O31" s="572"/>
    </row>
    <row r="32" spans="1:15" x14ac:dyDescent="0.25">
      <c r="A32" s="188">
        <v>1</v>
      </c>
      <c r="B32" s="189" t="s">
        <v>735</v>
      </c>
      <c r="C32" s="225" t="s">
        <v>28</v>
      </c>
      <c r="D32" s="226">
        <v>14</v>
      </c>
      <c r="E32" s="221">
        <v>10</v>
      </c>
      <c r="F32" s="227">
        <v>7500</v>
      </c>
      <c r="G32" s="227">
        <f t="shared" ref="G32:G37" si="13">D32*E32*F32</f>
        <v>1050000</v>
      </c>
      <c r="H32" s="227">
        <f t="shared" si="3"/>
        <v>1780.1437678014377</v>
      </c>
      <c r="I32" s="642">
        <f t="shared" ref="I32:I37" si="14">G32*0.03</f>
        <v>31500</v>
      </c>
      <c r="J32" s="642">
        <f>1600*D32</f>
        <v>22400</v>
      </c>
      <c r="K32" s="642">
        <f t="shared" ref="K32:K37" si="15">G32/D32</f>
        <v>75000</v>
      </c>
      <c r="L32" s="522"/>
      <c r="M32" s="522"/>
      <c r="N32" s="522"/>
      <c r="O32" s="572"/>
    </row>
    <row r="33" spans="1:15" x14ac:dyDescent="0.25">
      <c r="A33" s="188">
        <v>2</v>
      </c>
      <c r="B33" s="189" t="s">
        <v>736</v>
      </c>
      <c r="C33" s="225" t="s">
        <v>28</v>
      </c>
      <c r="D33" s="226">
        <v>7</v>
      </c>
      <c r="E33" s="221">
        <v>10</v>
      </c>
      <c r="F33" s="227">
        <v>3000</v>
      </c>
      <c r="G33" s="227">
        <f t="shared" si="13"/>
        <v>210000</v>
      </c>
      <c r="H33" s="227">
        <f t="shared" si="3"/>
        <v>356.0287535602875</v>
      </c>
      <c r="I33" s="642">
        <f t="shared" si="14"/>
        <v>6300</v>
      </c>
      <c r="J33" s="642">
        <f>1050*D33</f>
        <v>7350</v>
      </c>
      <c r="K33" s="642">
        <f t="shared" si="15"/>
        <v>30000</v>
      </c>
      <c r="L33" s="522"/>
      <c r="M33" s="522"/>
      <c r="N33" s="522"/>
      <c r="O33" s="572"/>
    </row>
    <row r="34" spans="1:15" x14ac:dyDescent="0.25">
      <c r="A34" s="188">
        <v>3</v>
      </c>
      <c r="B34" s="189" t="s">
        <v>737</v>
      </c>
      <c r="C34" s="225" t="s">
        <v>28</v>
      </c>
      <c r="D34" s="226">
        <v>1</v>
      </c>
      <c r="E34" s="221">
        <v>10</v>
      </c>
      <c r="F34" s="227">
        <v>7500</v>
      </c>
      <c r="G34" s="227">
        <f t="shared" si="13"/>
        <v>75000</v>
      </c>
      <c r="H34" s="227">
        <f t="shared" si="3"/>
        <v>127.15312627153125</v>
      </c>
      <c r="I34" s="642">
        <f t="shared" si="14"/>
        <v>2250</v>
      </c>
      <c r="J34" s="642">
        <f>1600*D34</f>
        <v>1600</v>
      </c>
      <c r="K34" s="642">
        <f t="shared" si="15"/>
        <v>75000</v>
      </c>
      <c r="L34" s="522"/>
      <c r="M34" s="522"/>
      <c r="N34" s="522"/>
      <c r="O34" s="572"/>
    </row>
    <row r="35" spans="1:15" x14ac:dyDescent="0.25">
      <c r="A35" s="188">
        <v>4</v>
      </c>
      <c r="B35" s="189" t="s">
        <v>1365</v>
      </c>
      <c r="C35" s="225" t="s">
        <v>28</v>
      </c>
      <c r="D35" s="226">
        <v>44</v>
      </c>
      <c r="E35" s="221">
        <v>7</v>
      </c>
      <c r="F35" s="227">
        <v>3000</v>
      </c>
      <c r="G35" s="227">
        <f t="shared" si="13"/>
        <v>924000</v>
      </c>
      <c r="H35" s="227">
        <f t="shared" si="3"/>
        <v>1566.5265156652652</v>
      </c>
      <c r="I35" s="642">
        <f t="shared" si="14"/>
        <v>27720</v>
      </c>
      <c r="J35" s="642">
        <f>550*D35</f>
        <v>24200</v>
      </c>
      <c r="K35" s="642">
        <f t="shared" si="15"/>
        <v>21000</v>
      </c>
      <c r="L35" s="522"/>
      <c r="M35" s="522"/>
      <c r="N35" s="522"/>
      <c r="O35" s="572"/>
    </row>
    <row r="36" spans="1:15" x14ac:dyDescent="0.25">
      <c r="A36" s="188">
        <v>5</v>
      </c>
      <c r="B36" s="189" t="s">
        <v>1345</v>
      </c>
      <c r="C36" s="225" t="s">
        <v>28</v>
      </c>
      <c r="D36" s="226">
        <v>1</v>
      </c>
      <c r="E36" s="221">
        <v>10</v>
      </c>
      <c r="F36" s="227">
        <v>8000</v>
      </c>
      <c r="G36" s="227">
        <f t="shared" si="13"/>
        <v>80000</v>
      </c>
      <c r="H36" s="227">
        <f t="shared" ref="H36" si="16">G36/589.84</f>
        <v>135.6300013563</v>
      </c>
      <c r="I36" s="642">
        <f t="shared" si="14"/>
        <v>2400</v>
      </c>
      <c r="J36" s="642">
        <f>1600*D36</f>
        <v>1600</v>
      </c>
      <c r="K36" s="642">
        <f t="shared" si="15"/>
        <v>80000</v>
      </c>
      <c r="L36" s="522"/>
      <c r="M36" s="522"/>
      <c r="N36" s="522"/>
      <c r="O36" s="572"/>
    </row>
    <row r="37" spans="1:15" ht="16.5" thickBot="1" x14ac:dyDescent="0.3">
      <c r="A37" s="188">
        <v>6</v>
      </c>
      <c r="B37" s="189" t="s">
        <v>738</v>
      </c>
      <c r="C37" s="225" t="s">
        <v>28</v>
      </c>
      <c r="D37" s="226">
        <v>2</v>
      </c>
      <c r="E37" s="221">
        <v>10</v>
      </c>
      <c r="F37" s="227">
        <v>8000</v>
      </c>
      <c r="G37" s="227">
        <f t="shared" si="13"/>
        <v>160000</v>
      </c>
      <c r="H37" s="227">
        <f t="shared" si="3"/>
        <v>271.2600027126</v>
      </c>
      <c r="I37" s="642">
        <f t="shared" si="14"/>
        <v>4800</v>
      </c>
      <c r="J37" s="642">
        <f>1600*D37</f>
        <v>3200</v>
      </c>
      <c r="K37" s="642">
        <f t="shared" si="15"/>
        <v>80000</v>
      </c>
      <c r="L37" s="522"/>
      <c r="M37" s="522"/>
      <c r="N37" s="522"/>
      <c r="O37" s="572"/>
    </row>
    <row r="38" spans="1:15" ht="18.75" thickBot="1" x14ac:dyDescent="0.3">
      <c r="A38" s="341" t="s">
        <v>1399</v>
      </c>
      <c r="B38" s="342"/>
      <c r="C38" s="343"/>
      <c r="D38" s="343"/>
      <c r="E38" s="343"/>
      <c r="F38" s="344"/>
      <c r="G38" s="344">
        <f>SUM(G32:G37)</f>
        <v>2499000</v>
      </c>
      <c r="H38" s="345">
        <f>SUM(H32:H37)</f>
        <v>4236.7421673674216</v>
      </c>
      <c r="I38" s="263">
        <f t="shared" ref="I38" si="17">SUM(I32:I37)</f>
        <v>74970</v>
      </c>
      <c r="J38" s="263">
        <f>SUM(J32:J37)</f>
        <v>60350</v>
      </c>
      <c r="K38" s="12"/>
      <c r="L38" s="522"/>
      <c r="M38" s="522"/>
      <c r="N38" s="522"/>
      <c r="O38" s="572"/>
    </row>
    <row r="39" spans="1:15" x14ac:dyDescent="0.25">
      <c r="A39" s="188">
        <v>1</v>
      </c>
      <c r="B39" s="189" t="s">
        <v>739</v>
      </c>
      <c r="C39" s="225" t="s">
        <v>28</v>
      </c>
      <c r="D39" s="225">
        <v>4</v>
      </c>
      <c r="E39" s="221">
        <v>10</v>
      </c>
      <c r="F39" s="227">
        <v>7500</v>
      </c>
      <c r="G39" s="227">
        <f t="shared" ref="G39:G44" si="18">D39*E39*F39</f>
        <v>300000</v>
      </c>
      <c r="H39" s="227">
        <f t="shared" si="3"/>
        <v>508.612505086125</v>
      </c>
      <c r="I39" s="642">
        <f t="shared" ref="I39:I44" si="19">G39*0.03</f>
        <v>9000</v>
      </c>
      <c r="J39" s="642">
        <f>1600*D39</f>
        <v>6400</v>
      </c>
      <c r="K39" s="642">
        <f t="shared" ref="K39:K44" si="20">G39/D39</f>
        <v>75000</v>
      </c>
      <c r="L39" s="522"/>
      <c r="M39" s="522"/>
      <c r="N39" s="522"/>
      <c r="O39" s="572"/>
    </row>
    <row r="40" spans="1:15" x14ac:dyDescent="0.25">
      <c r="A40" s="188">
        <v>2</v>
      </c>
      <c r="B40" s="189" t="s">
        <v>361</v>
      </c>
      <c r="C40" s="225" t="s">
        <v>28</v>
      </c>
      <c r="D40" s="225">
        <v>2</v>
      </c>
      <c r="E40" s="221">
        <v>10</v>
      </c>
      <c r="F40" s="227">
        <v>3000</v>
      </c>
      <c r="G40" s="227">
        <f t="shared" si="18"/>
        <v>60000</v>
      </c>
      <c r="H40" s="227">
        <f t="shared" si="3"/>
        <v>101.722501017225</v>
      </c>
      <c r="I40" s="642">
        <f t="shared" si="19"/>
        <v>1800</v>
      </c>
      <c r="J40" s="642">
        <f>1050*D40</f>
        <v>2100</v>
      </c>
      <c r="K40" s="642">
        <f t="shared" si="20"/>
        <v>30000</v>
      </c>
      <c r="L40" s="522"/>
      <c r="M40" s="522"/>
      <c r="N40" s="522"/>
      <c r="O40" s="572"/>
    </row>
    <row r="41" spans="1:15" x14ac:dyDescent="0.25">
      <c r="A41" s="188">
        <v>3</v>
      </c>
      <c r="B41" s="189" t="s">
        <v>740</v>
      </c>
      <c r="C41" s="225" t="s">
        <v>28</v>
      </c>
      <c r="D41" s="226">
        <v>1</v>
      </c>
      <c r="E41" s="221">
        <v>10</v>
      </c>
      <c r="F41" s="227">
        <v>7500</v>
      </c>
      <c r="G41" s="227">
        <f t="shared" si="18"/>
        <v>75000</v>
      </c>
      <c r="H41" s="227">
        <f t="shared" si="3"/>
        <v>127.15312627153125</v>
      </c>
      <c r="I41" s="642">
        <f t="shared" si="19"/>
        <v>2250</v>
      </c>
      <c r="J41" s="642">
        <f>1600*D41</f>
        <v>1600</v>
      </c>
      <c r="K41" s="642">
        <f t="shared" si="20"/>
        <v>75000</v>
      </c>
      <c r="L41" s="522"/>
      <c r="M41" s="522"/>
      <c r="N41" s="522"/>
      <c r="O41" s="572"/>
    </row>
    <row r="42" spans="1:15" x14ac:dyDescent="0.25">
      <c r="A42" s="188">
        <v>4</v>
      </c>
      <c r="B42" s="189" t="s">
        <v>1365</v>
      </c>
      <c r="C42" s="225" t="s">
        <v>28</v>
      </c>
      <c r="D42" s="226">
        <v>13</v>
      </c>
      <c r="E42" s="221">
        <v>7</v>
      </c>
      <c r="F42" s="227">
        <v>3000</v>
      </c>
      <c r="G42" s="227">
        <f t="shared" si="18"/>
        <v>273000</v>
      </c>
      <c r="H42" s="227">
        <f t="shared" ref="H42" si="21">G42/589.84</f>
        <v>462.83737962837375</v>
      </c>
      <c r="I42" s="642">
        <f t="shared" si="19"/>
        <v>8190</v>
      </c>
      <c r="J42" s="642">
        <f>550*D42</f>
        <v>7150</v>
      </c>
      <c r="K42" s="642">
        <f t="shared" si="20"/>
        <v>21000</v>
      </c>
      <c r="L42" s="522"/>
      <c r="M42" s="522"/>
      <c r="N42" s="522"/>
      <c r="O42" s="572"/>
    </row>
    <row r="43" spans="1:15" x14ac:dyDescent="0.25">
      <c r="A43" s="188">
        <v>5</v>
      </c>
      <c r="B43" s="189" t="s">
        <v>1345</v>
      </c>
      <c r="C43" s="225" t="s">
        <v>28</v>
      </c>
      <c r="D43" s="226">
        <v>1</v>
      </c>
      <c r="E43" s="221">
        <v>10</v>
      </c>
      <c r="F43" s="227">
        <v>8000</v>
      </c>
      <c r="G43" s="227">
        <f t="shared" si="18"/>
        <v>80000</v>
      </c>
      <c r="H43" s="227">
        <f t="shared" ref="H43" si="22">G43/589.84</f>
        <v>135.6300013563</v>
      </c>
      <c r="I43" s="642">
        <f t="shared" si="19"/>
        <v>2400</v>
      </c>
      <c r="J43" s="642">
        <f>1600*D43</f>
        <v>1600</v>
      </c>
      <c r="K43" s="642">
        <f t="shared" si="20"/>
        <v>80000</v>
      </c>
      <c r="L43" s="522"/>
      <c r="M43" s="522"/>
      <c r="N43" s="522"/>
      <c r="O43" s="572"/>
    </row>
    <row r="44" spans="1:15" ht="16.5" thickBot="1" x14ac:dyDescent="0.3">
      <c r="A44" s="188">
        <v>6</v>
      </c>
      <c r="B44" s="189" t="s">
        <v>741</v>
      </c>
      <c r="C44" s="225" t="s">
        <v>28</v>
      </c>
      <c r="D44" s="226">
        <v>1</v>
      </c>
      <c r="E44" s="221">
        <v>10</v>
      </c>
      <c r="F44" s="227">
        <v>8000</v>
      </c>
      <c r="G44" s="227">
        <f t="shared" si="18"/>
        <v>80000</v>
      </c>
      <c r="H44" s="227">
        <f t="shared" si="3"/>
        <v>135.6300013563</v>
      </c>
      <c r="I44" s="642">
        <f t="shared" si="19"/>
        <v>2400</v>
      </c>
      <c r="J44" s="642">
        <f>1600*D44</f>
        <v>1600</v>
      </c>
      <c r="K44" s="642">
        <f t="shared" si="20"/>
        <v>80000</v>
      </c>
      <c r="L44" s="522"/>
      <c r="M44" s="522"/>
      <c r="N44" s="522"/>
      <c r="O44" s="572"/>
    </row>
    <row r="45" spans="1:15" ht="18.75" thickBot="1" x14ac:dyDescent="0.3">
      <c r="A45" s="341" t="s">
        <v>1399</v>
      </c>
      <c r="B45" s="342"/>
      <c r="C45" s="343"/>
      <c r="D45" s="612"/>
      <c r="E45" s="612"/>
      <c r="F45" s="344"/>
      <c r="G45" s="453">
        <f>SUM(G39:G44)</f>
        <v>868000</v>
      </c>
      <c r="H45" s="454">
        <f>SUM(H39:H44)</f>
        <v>1471.585514715855</v>
      </c>
      <c r="I45" s="263">
        <f>SUM(I39:I44)</f>
        <v>26040</v>
      </c>
      <c r="J45" s="263">
        <f>SUM(J39:J44)</f>
        <v>20450</v>
      </c>
      <c r="K45" s="12"/>
      <c r="L45" s="522"/>
      <c r="M45" s="522"/>
      <c r="N45" s="522"/>
      <c r="O45" s="572"/>
    </row>
    <row r="46" spans="1:15" x14ac:dyDescent="0.25">
      <c r="A46" s="188">
        <v>1</v>
      </c>
      <c r="B46" s="189" t="s">
        <v>742</v>
      </c>
      <c r="C46" s="225" t="s">
        <v>28</v>
      </c>
      <c r="D46" s="225">
        <v>2</v>
      </c>
      <c r="E46" s="112">
        <v>12</v>
      </c>
      <c r="F46" s="227">
        <v>12500</v>
      </c>
      <c r="G46" s="227">
        <f t="shared" ref="G46:G54" si="23">D46*E46*F46</f>
        <v>300000</v>
      </c>
      <c r="H46" s="268">
        <f t="shared" si="3"/>
        <v>508.612505086125</v>
      </c>
      <c r="I46" s="642">
        <f t="shared" ref="I46:I51" si="24">G46*0.03</f>
        <v>9000</v>
      </c>
      <c r="J46" s="642">
        <f>1900*D46</f>
        <v>3800</v>
      </c>
      <c r="K46" s="642">
        <f t="shared" ref="K46:K51" si="25">G46/D46</f>
        <v>150000</v>
      </c>
      <c r="L46" s="522"/>
      <c r="M46" s="522"/>
      <c r="N46" s="522"/>
      <c r="O46" s="572"/>
    </row>
    <row r="47" spans="1:15" x14ac:dyDescent="0.25">
      <c r="A47" s="188">
        <v>2</v>
      </c>
      <c r="B47" s="189" t="s">
        <v>743</v>
      </c>
      <c r="C47" s="225" t="s">
        <v>28</v>
      </c>
      <c r="D47" s="495">
        <v>1</v>
      </c>
      <c r="E47" s="112">
        <v>10</v>
      </c>
      <c r="F47" s="25">
        <v>10000</v>
      </c>
      <c r="G47" s="227">
        <f t="shared" si="23"/>
        <v>100000</v>
      </c>
      <c r="H47" s="268">
        <f t="shared" si="3"/>
        <v>169.537501695375</v>
      </c>
      <c r="I47" s="642">
        <f t="shared" si="24"/>
        <v>3000</v>
      </c>
      <c r="J47" s="642">
        <f>1600*D47</f>
        <v>1600</v>
      </c>
      <c r="K47" s="642">
        <f t="shared" si="25"/>
        <v>100000</v>
      </c>
      <c r="L47" s="522"/>
      <c r="M47" s="522"/>
      <c r="N47" s="522"/>
      <c r="O47" s="572"/>
    </row>
    <row r="48" spans="1:15" x14ac:dyDescent="0.25">
      <c r="A48" s="188">
        <v>3</v>
      </c>
      <c r="B48" s="189" t="s">
        <v>744</v>
      </c>
      <c r="C48" s="225" t="s">
        <v>28</v>
      </c>
      <c r="D48" s="495">
        <v>2</v>
      </c>
      <c r="E48" s="112">
        <v>13</v>
      </c>
      <c r="F48" s="25">
        <v>10000</v>
      </c>
      <c r="G48" s="227">
        <f t="shared" si="23"/>
        <v>260000</v>
      </c>
      <c r="H48" s="268">
        <f t="shared" si="3"/>
        <v>440.797504407975</v>
      </c>
      <c r="I48" s="642">
        <f t="shared" si="24"/>
        <v>7800</v>
      </c>
      <c r="J48" s="642">
        <f>1900*D48</f>
        <v>3800</v>
      </c>
      <c r="K48" s="642">
        <f t="shared" si="25"/>
        <v>130000</v>
      </c>
      <c r="L48" s="522"/>
      <c r="M48" s="522"/>
      <c r="N48" s="522"/>
      <c r="O48" s="572"/>
    </row>
    <row r="49" spans="1:15" x14ac:dyDescent="0.25">
      <c r="A49" s="188">
        <v>4</v>
      </c>
      <c r="B49" s="189" t="s">
        <v>745</v>
      </c>
      <c r="C49" s="225" t="s">
        <v>28</v>
      </c>
      <c r="D49" s="495">
        <v>1</v>
      </c>
      <c r="E49" s="112">
        <v>13</v>
      </c>
      <c r="F49" s="25">
        <v>10000</v>
      </c>
      <c r="G49" s="227">
        <f t="shared" si="23"/>
        <v>130000</v>
      </c>
      <c r="H49" s="268">
        <f t="shared" si="3"/>
        <v>220.3987522039875</v>
      </c>
      <c r="I49" s="642">
        <f t="shared" si="24"/>
        <v>3900</v>
      </c>
      <c r="J49" s="642">
        <f>1600*D49</f>
        <v>1600</v>
      </c>
      <c r="K49" s="642">
        <f t="shared" si="25"/>
        <v>130000</v>
      </c>
      <c r="L49" s="522"/>
      <c r="M49" s="522"/>
      <c r="N49" s="522"/>
      <c r="O49" s="572"/>
    </row>
    <row r="50" spans="1:15" x14ac:dyDescent="0.25">
      <c r="A50" s="188">
        <v>5</v>
      </c>
      <c r="B50" s="189" t="s">
        <v>746</v>
      </c>
      <c r="C50" s="225" t="s">
        <v>28</v>
      </c>
      <c r="D50" s="495">
        <v>1</v>
      </c>
      <c r="E50" s="112">
        <v>10</v>
      </c>
      <c r="F50" s="25">
        <v>10000</v>
      </c>
      <c r="G50" s="227">
        <f t="shared" si="23"/>
        <v>100000</v>
      </c>
      <c r="H50" s="268">
        <f t="shared" si="3"/>
        <v>169.537501695375</v>
      </c>
      <c r="I50" s="642">
        <f t="shared" si="24"/>
        <v>3000</v>
      </c>
      <c r="J50" s="642">
        <f t="shared" ref="J50:J53" si="26">1600*D50</f>
        <v>1600</v>
      </c>
      <c r="K50" s="642">
        <f t="shared" si="25"/>
        <v>100000</v>
      </c>
      <c r="L50" s="522"/>
      <c r="M50" s="522"/>
      <c r="N50" s="522"/>
      <c r="O50" s="572"/>
    </row>
    <row r="51" spans="1:15" x14ac:dyDescent="0.25">
      <c r="A51" s="188">
        <v>6</v>
      </c>
      <c r="B51" s="189" t="s">
        <v>747</v>
      </c>
      <c r="C51" s="225" t="s">
        <v>28</v>
      </c>
      <c r="D51" s="495">
        <v>1</v>
      </c>
      <c r="E51" s="112">
        <v>10</v>
      </c>
      <c r="F51" s="25">
        <v>10000</v>
      </c>
      <c r="G51" s="227">
        <f t="shared" si="23"/>
        <v>100000</v>
      </c>
      <c r="H51" s="268">
        <f t="shared" si="3"/>
        <v>169.537501695375</v>
      </c>
      <c r="I51" s="642">
        <f t="shared" si="24"/>
        <v>3000</v>
      </c>
      <c r="J51" s="642">
        <f t="shared" si="26"/>
        <v>1600</v>
      </c>
      <c r="K51" s="642">
        <f t="shared" si="25"/>
        <v>100000</v>
      </c>
      <c r="L51" s="522"/>
      <c r="M51" s="522"/>
      <c r="N51" s="522"/>
      <c r="O51" s="572"/>
    </row>
    <row r="52" spans="1:15" x14ac:dyDescent="0.25">
      <c r="A52" s="188">
        <v>7</v>
      </c>
      <c r="B52" s="189" t="s">
        <v>748</v>
      </c>
      <c r="C52" s="225" t="s">
        <v>28</v>
      </c>
      <c r="D52" s="495">
        <v>2</v>
      </c>
      <c r="E52" s="112">
        <v>10</v>
      </c>
      <c r="F52" s="25">
        <v>10000</v>
      </c>
      <c r="G52" s="227">
        <f t="shared" si="23"/>
        <v>200000</v>
      </c>
      <c r="H52" s="268">
        <f t="shared" si="3"/>
        <v>339.07500339075</v>
      </c>
      <c r="I52" s="642">
        <f t="shared" ref="I52" si="27">G52*0.03</f>
        <v>6000</v>
      </c>
      <c r="J52" s="642">
        <f t="shared" si="26"/>
        <v>3200</v>
      </c>
      <c r="K52" s="642">
        <f t="shared" ref="K52" si="28">G52/D52</f>
        <v>100000</v>
      </c>
      <c r="L52" s="522"/>
      <c r="M52" s="522"/>
      <c r="N52" s="522"/>
      <c r="O52" s="572"/>
    </row>
    <row r="53" spans="1:15" x14ac:dyDescent="0.25">
      <c r="A53" s="188">
        <v>8</v>
      </c>
      <c r="B53" s="189" t="s">
        <v>749</v>
      </c>
      <c r="C53" s="225" t="s">
        <v>28</v>
      </c>
      <c r="D53" s="495">
        <v>1</v>
      </c>
      <c r="E53" s="112">
        <v>10</v>
      </c>
      <c r="F53" s="25">
        <v>10000</v>
      </c>
      <c r="G53" s="227">
        <f t="shared" si="23"/>
        <v>100000</v>
      </c>
      <c r="H53" s="268">
        <f t="shared" si="3"/>
        <v>169.537501695375</v>
      </c>
      <c r="I53" s="642">
        <f t="shared" ref="I53:I54" si="29">G53*0.03</f>
        <v>3000</v>
      </c>
      <c r="J53" s="642">
        <f t="shared" si="26"/>
        <v>1600</v>
      </c>
      <c r="K53" s="642">
        <f t="shared" ref="K53:K58" si="30">G53/D53</f>
        <v>100000</v>
      </c>
      <c r="L53" s="522"/>
      <c r="M53" s="522"/>
      <c r="N53" s="522"/>
      <c r="O53" s="572"/>
    </row>
    <row r="54" spans="1:15" x14ac:dyDescent="0.25">
      <c r="A54" s="188">
        <v>9</v>
      </c>
      <c r="B54" s="189" t="s">
        <v>750</v>
      </c>
      <c r="C54" s="225" t="s">
        <v>28</v>
      </c>
      <c r="D54" s="495">
        <v>1</v>
      </c>
      <c r="E54" s="112">
        <v>10</v>
      </c>
      <c r="F54" s="227">
        <v>5000</v>
      </c>
      <c r="G54" s="227">
        <f t="shared" si="23"/>
        <v>50000</v>
      </c>
      <c r="H54" s="268">
        <f t="shared" si="3"/>
        <v>84.7687508476875</v>
      </c>
      <c r="I54" s="642">
        <f t="shared" si="29"/>
        <v>1500</v>
      </c>
      <c r="J54" s="642">
        <f>1050*D54</f>
        <v>1050</v>
      </c>
      <c r="K54" s="642">
        <f t="shared" si="30"/>
        <v>50000</v>
      </c>
      <c r="L54" s="522"/>
      <c r="M54" s="522"/>
      <c r="N54" s="522"/>
      <c r="O54" s="572"/>
    </row>
    <row r="55" spans="1:15" ht="18.75" thickBot="1" x14ac:dyDescent="0.3">
      <c r="A55" s="188" t="s">
        <v>522</v>
      </c>
      <c r="B55" s="189"/>
      <c r="C55" s="225"/>
      <c r="D55" s="228"/>
      <c r="E55" s="229"/>
      <c r="F55" s="227"/>
      <c r="G55" s="451">
        <f>SUM(G46:G54)</f>
        <v>1340000</v>
      </c>
      <c r="H55" s="452">
        <f>SUM(H46:H54)</f>
        <v>2271.8025227180246</v>
      </c>
      <c r="I55" s="692">
        <f>SUM(I46:I54)</f>
        <v>40200</v>
      </c>
      <c r="J55" s="263">
        <f>SUM(J46:J54)</f>
        <v>19850</v>
      </c>
      <c r="K55" s="12"/>
      <c r="L55" s="522"/>
      <c r="M55" s="522"/>
      <c r="N55" s="522"/>
      <c r="O55" s="572"/>
    </row>
    <row r="56" spans="1:15" ht="19.149999999999999" customHeight="1" thickBot="1" x14ac:dyDescent="0.3">
      <c r="A56" s="780" t="s">
        <v>526</v>
      </c>
      <c r="B56" s="781"/>
      <c r="C56" s="781"/>
      <c r="D56" s="781"/>
      <c r="E56" s="783"/>
      <c r="F56" s="348"/>
      <c r="G56" s="349"/>
      <c r="H56" s="350"/>
      <c r="I56" s="12"/>
      <c r="J56" s="12"/>
      <c r="K56" s="12"/>
      <c r="L56" s="522"/>
      <c r="M56" s="522"/>
      <c r="N56" s="522"/>
      <c r="O56" s="572"/>
    </row>
    <row r="57" spans="1:15" ht="18" x14ac:dyDescent="0.25">
      <c r="A57" s="233"/>
      <c r="B57" s="234" t="s">
        <v>451</v>
      </c>
      <c r="C57" s="234"/>
      <c r="D57" s="234"/>
      <c r="E57" s="234"/>
      <c r="F57" s="234"/>
      <c r="G57" s="234"/>
      <c r="H57" s="234"/>
      <c r="I57" s="12"/>
      <c r="J57" s="12"/>
      <c r="K57" s="12"/>
      <c r="L57" s="522"/>
      <c r="M57" s="522"/>
      <c r="N57" s="522"/>
      <c r="O57" s="572"/>
    </row>
    <row r="58" spans="1:15" x14ac:dyDescent="0.25">
      <c r="A58" s="22">
        <v>1</v>
      </c>
      <c r="B58" s="26" t="s">
        <v>1293</v>
      </c>
      <c r="C58" s="23" t="s">
        <v>83</v>
      </c>
      <c r="D58" s="19">
        <f>(38-13)-5</f>
        <v>20</v>
      </c>
      <c r="E58" s="23">
        <v>10</v>
      </c>
      <c r="F58" s="25">
        <v>10000</v>
      </c>
      <c r="G58" s="227">
        <f t="shared" ref="G58:G76" si="31">D58*E58*F58</f>
        <v>2000000</v>
      </c>
      <c r="H58" s="268">
        <f t="shared" ref="H58:H76" si="32">G58/589.84</f>
        <v>3390.7500339075</v>
      </c>
      <c r="I58" s="642">
        <f>G58*0.03</f>
        <v>60000</v>
      </c>
      <c r="J58" s="642">
        <f>1600*D58</f>
        <v>32000</v>
      </c>
      <c r="K58" s="642">
        <f t="shared" si="30"/>
        <v>100000</v>
      </c>
      <c r="L58" s="522"/>
      <c r="M58" s="522"/>
      <c r="N58" s="522"/>
      <c r="O58" s="572"/>
    </row>
    <row r="59" spans="1:15" x14ac:dyDescent="0.25">
      <c r="A59" s="22">
        <v>2</v>
      </c>
      <c r="B59" s="26" t="s">
        <v>1294</v>
      </c>
      <c r="C59" s="23" t="s">
        <v>30</v>
      </c>
      <c r="D59" s="19">
        <f>38*3*10</f>
        <v>1140</v>
      </c>
      <c r="E59" s="23">
        <v>1</v>
      </c>
      <c r="F59" s="25">
        <v>850</v>
      </c>
      <c r="G59" s="227">
        <f t="shared" si="31"/>
        <v>969000</v>
      </c>
      <c r="H59" s="268">
        <f t="shared" si="32"/>
        <v>1642.8183914281838</v>
      </c>
      <c r="I59" s="642">
        <v>0</v>
      </c>
      <c r="J59" s="642">
        <v>0</v>
      </c>
      <c r="K59" s="642">
        <v>0</v>
      </c>
      <c r="L59" s="522"/>
      <c r="M59" s="522"/>
      <c r="N59" s="522"/>
      <c r="O59" s="572"/>
    </row>
    <row r="60" spans="1:15" x14ac:dyDescent="0.25">
      <c r="A60" s="22">
        <v>3</v>
      </c>
      <c r="B60" s="26" t="s">
        <v>1295</v>
      </c>
      <c r="C60" s="23" t="s">
        <v>83</v>
      </c>
      <c r="D60" s="19">
        <f>+D16+D23+D30+D37+D44</f>
        <v>7</v>
      </c>
      <c r="E60" s="23">
        <v>10</v>
      </c>
      <c r="F60" s="25">
        <v>10000</v>
      </c>
      <c r="G60" s="227">
        <f t="shared" si="31"/>
        <v>700000</v>
      </c>
      <c r="H60" s="268">
        <f t="shared" si="32"/>
        <v>1186.7625118676251</v>
      </c>
      <c r="I60" s="642">
        <f t="shared" ref="I60:I62" si="33">G60*0.03</f>
        <v>21000</v>
      </c>
      <c r="J60" s="642">
        <f>1600*D60</f>
        <v>11200</v>
      </c>
      <c r="K60" s="642">
        <f t="shared" ref="K60:K62" si="34">G60/D60</f>
        <v>100000</v>
      </c>
      <c r="L60" s="522"/>
      <c r="M60" s="522"/>
      <c r="N60" s="522"/>
      <c r="O60" s="572"/>
    </row>
    <row r="61" spans="1:15" x14ac:dyDescent="0.25">
      <c r="A61" s="22">
        <v>4</v>
      </c>
      <c r="B61" s="26" t="s">
        <v>1296</v>
      </c>
      <c r="C61" s="23" t="s">
        <v>30</v>
      </c>
      <c r="D61" s="19">
        <f>D60*3*10</f>
        <v>210</v>
      </c>
      <c r="E61" s="23">
        <v>1</v>
      </c>
      <c r="F61" s="25">
        <v>850</v>
      </c>
      <c r="G61" s="227">
        <f t="shared" si="31"/>
        <v>178500</v>
      </c>
      <c r="H61" s="268">
        <f t="shared" si="32"/>
        <v>302.62444052624437</v>
      </c>
      <c r="I61" s="642">
        <v>0</v>
      </c>
      <c r="J61" s="642">
        <v>0</v>
      </c>
      <c r="K61" s="642">
        <v>0</v>
      </c>
      <c r="L61" s="522"/>
      <c r="M61" s="522"/>
      <c r="N61" s="522"/>
      <c r="O61" s="572"/>
    </row>
    <row r="62" spans="1:15" x14ac:dyDescent="0.25">
      <c r="A62" s="22">
        <v>5</v>
      </c>
      <c r="B62" s="26" t="s">
        <v>1297</v>
      </c>
      <c r="C62" s="23" t="s">
        <v>84</v>
      </c>
      <c r="D62" s="19">
        <f>2-1</f>
        <v>1</v>
      </c>
      <c r="E62" s="23">
        <v>0</v>
      </c>
      <c r="F62" s="25">
        <v>75000</v>
      </c>
      <c r="G62" s="227">
        <f t="shared" si="31"/>
        <v>0</v>
      </c>
      <c r="H62" s="268">
        <f t="shared" si="32"/>
        <v>0</v>
      </c>
      <c r="I62" s="642">
        <f t="shared" si="33"/>
        <v>0</v>
      </c>
      <c r="J62" s="642">
        <v>0</v>
      </c>
      <c r="K62" s="642">
        <f t="shared" si="34"/>
        <v>0</v>
      </c>
      <c r="L62" s="522"/>
      <c r="M62" s="522"/>
      <c r="N62" s="522"/>
      <c r="O62" s="572"/>
    </row>
    <row r="63" spans="1:15" x14ac:dyDescent="0.25">
      <c r="A63" s="22">
        <v>6</v>
      </c>
      <c r="B63" s="26" t="s">
        <v>1298</v>
      </c>
      <c r="C63" s="23" t="s">
        <v>29</v>
      </c>
      <c r="D63" s="19">
        <f>D62*100*0.2*10</f>
        <v>200</v>
      </c>
      <c r="E63" s="23">
        <v>1</v>
      </c>
      <c r="F63" s="25">
        <v>800</v>
      </c>
      <c r="G63" s="227">
        <f t="shared" si="31"/>
        <v>160000</v>
      </c>
      <c r="H63" s="268">
        <f t="shared" si="32"/>
        <v>271.2600027126</v>
      </c>
      <c r="I63" s="642">
        <v>0</v>
      </c>
      <c r="J63" s="642">
        <v>0</v>
      </c>
      <c r="K63" s="642">
        <v>0</v>
      </c>
      <c r="L63" s="522"/>
      <c r="M63" s="522"/>
      <c r="N63" s="522"/>
      <c r="O63" s="572"/>
    </row>
    <row r="64" spans="1:15" x14ac:dyDescent="0.25">
      <c r="A64" s="22">
        <v>7</v>
      </c>
      <c r="B64" s="26" t="s">
        <v>1363</v>
      </c>
      <c r="C64" s="23" t="s">
        <v>90</v>
      </c>
      <c r="D64" s="19">
        <f>50*0.2*1*10</f>
        <v>100</v>
      </c>
      <c r="E64" s="23">
        <v>1</v>
      </c>
      <c r="F64" s="25">
        <v>800</v>
      </c>
      <c r="G64" s="227">
        <f t="shared" si="31"/>
        <v>80000</v>
      </c>
      <c r="H64" s="268">
        <f t="shared" si="32"/>
        <v>135.6300013563</v>
      </c>
      <c r="I64" s="642">
        <v>0</v>
      </c>
      <c r="J64" s="642">
        <v>0</v>
      </c>
      <c r="K64" s="642">
        <v>0</v>
      </c>
      <c r="L64" s="522"/>
      <c r="M64" s="522"/>
      <c r="N64" s="522"/>
      <c r="O64" s="572"/>
    </row>
    <row r="65" spans="1:15" x14ac:dyDescent="0.25">
      <c r="A65" s="22">
        <v>8</v>
      </c>
      <c r="B65" s="26" t="s">
        <v>1299</v>
      </c>
      <c r="C65" s="23" t="s">
        <v>1280</v>
      </c>
      <c r="D65" s="19">
        <v>0</v>
      </c>
      <c r="E65" s="23">
        <v>0</v>
      </c>
      <c r="F65" s="25">
        <f>75000+225000</f>
        <v>300000</v>
      </c>
      <c r="G65" s="227">
        <f t="shared" si="31"/>
        <v>0</v>
      </c>
      <c r="H65" s="268">
        <f t="shared" si="32"/>
        <v>0</v>
      </c>
      <c r="I65" s="642">
        <f t="shared" ref="I65" si="35">G65*0.03</f>
        <v>0</v>
      </c>
      <c r="J65" s="642">
        <f>1600*D65</f>
        <v>0</v>
      </c>
      <c r="K65" s="642">
        <v>0</v>
      </c>
      <c r="L65" s="522"/>
      <c r="M65" s="522"/>
      <c r="N65" s="522"/>
      <c r="O65" s="572"/>
    </row>
    <row r="66" spans="1:15" x14ac:dyDescent="0.25">
      <c r="A66" s="22">
        <v>9</v>
      </c>
      <c r="B66" s="26" t="s">
        <v>1446</v>
      </c>
      <c r="C66" s="23" t="s">
        <v>30</v>
      </c>
      <c r="D66" s="19">
        <f>5*3*10</f>
        <v>150</v>
      </c>
      <c r="E66" s="23">
        <v>1</v>
      </c>
      <c r="F66" s="25">
        <v>761</v>
      </c>
      <c r="G66" s="227">
        <f t="shared" si="31"/>
        <v>114150</v>
      </c>
      <c r="H66" s="268">
        <f t="shared" si="32"/>
        <v>193.52705818527056</v>
      </c>
      <c r="I66" s="642">
        <v>0</v>
      </c>
      <c r="J66" s="642">
        <v>0</v>
      </c>
      <c r="K66" s="642">
        <v>0</v>
      </c>
      <c r="L66" s="522"/>
      <c r="M66" s="522"/>
      <c r="N66" s="522"/>
      <c r="O66" s="572"/>
    </row>
    <row r="67" spans="1:15" x14ac:dyDescent="0.25">
      <c r="A67" s="22">
        <v>10</v>
      </c>
      <c r="B67" s="26" t="s">
        <v>1300</v>
      </c>
      <c r="C67" s="23" t="s">
        <v>1301</v>
      </c>
      <c r="D67" s="19">
        <v>0</v>
      </c>
      <c r="E67" s="23">
        <v>0</v>
      </c>
      <c r="F67" s="25">
        <v>6000</v>
      </c>
      <c r="G67" s="227">
        <f t="shared" si="31"/>
        <v>0</v>
      </c>
      <c r="H67" s="268">
        <f t="shared" si="32"/>
        <v>0</v>
      </c>
      <c r="I67" s="642">
        <f t="shared" ref="I67:I76" si="36">G67*0.03</f>
        <v>0</v>
      </c>
      <c r="J67" s="642">
        <f t="shared" ref="J67:J76" si="37">1600*D67</f>
        <v>0</v>
      </c>
      <c r="K67" s="642">
        <v>0</v>
      </c>
      <c r="L67" s="522"/>
      <c r="M67" s="522"/>
      <c r="N67" s="522"/>
      <c r="O67" s="572"/>
    </row>
    <row r="68" spans="1:15" x14ac:dyDescent="0.25">
      <c r="A68" s="22">
        <v>11</v>
      </c>
      <c r="B68" s="26" t="s">
        <v>266</v>
      </c>
      <c r="C68" s="23" t="s">
        <v>1302</v>
      </c>
      <c r="D68" s="19">
        <v>0</v>
      </c>
      <c r="E68" s="23">
        <v>0</v>
      </c>
      <c r="F68" s="23">
        <v>0</v>
      </c>
      <c r="G68" s="227">
        <f t="shared" si="31"/>
        <v>0</v>
      </c>
      <c r="H68" s="268">
        <f t="shared" si="32"/>
        <v>0</v>
      </c>
      <c r="I68" s="642">
        <f t="shared" si="36"/>
        <v>0</v>
      </c>
      <c r="J68" s="642">
        <f t="shared" si="37"/>
        <v>0</v>
      </c>
      <c r="K68" s="642">
        <v>0</v>
      </c>
      <c r="L68" s="522"/>
      <c r="M68" s="522"/>
      <c r="N68" s="522"/>
      <c r="O68" s="572"/>
    </row>
    <row r="69" spans="1:15" x14ac:dyDescent="0.25">
      <c r="A69" s="22">
        <v>12</v>
      </c>
      <c r="B69" s="26" t="s">
        <v>267</v>
      </c>
      <c r="C69" s="23" t="s">
        <v>1302</v>
      </c>
      <c r="D69" s="20">
        <v>0</v>
      </c>
      <c r="E69" s="23">
        <v>0</v>
      </c>
      <c r="F69" s="23">
        <v>0</v>
      </c>
      <c r="G69" s="227">
        <f t="shared" si="31"/>
        <v>0</v>
      </c>
      <c r="H69" s="268">
        <f t="shared" si="32"/>
        <v>0</v>
      </c>
      <c r="I69" s="642">
        <f t="shared" si="36"/>
        <v>0</v>
      </c>
      <c r="J69" s="642">
        <f t="shared" si="37"/>
        <v>0</v>
      </c>
      <c r="K69" s="642">
        <v>0</v>
      </c>
      <c r="L69" s="522"/>
      <c r="M69" s="522"/>
      <c r="N69" s="522"/>
      <c r="O69" s="572"/>
    </row>
    <row r="70" spans="1:15" x14ac:dyDescent="0.25">
      <c r="A70" s="22">
        <v>13</v>
      </c>
      <c r="B70" s="26" t="s">
        <v>268</v>
      </c>
      <c r="C70" s="23" t="s">
        <v>1302</v>
      </c>
      <c r="D70" s="20">
        <v>0</v>
      </c>
      <c r="E70" s="23">
        <v>0</v>
      </c>
      <c r="F70" s="23">
        <v>0</v>
      </c>
      <c r="G70" s="227">
        <f t="shared" si="31"/>
        <v>0</v>
      </c>
      <c r="H70" s="268">
        <f t="shared" si="32"/>
        <v>0</v>
      </c>
      <c r="I70" s="642">
        <f t="shared" si="36"/>
        <v>0</v>
      </c>
      <c r="J70" s="642">
        <f t="shared" si="37"/>
        <v>0</v>
      </c>
      <c r="K70" s="642">
        <v>0</v>
      </c>
      <c r="L70" s="522"/>
      <c r="M70" s="522"/>
      <c r="N70" s="522"/>
      <c r="O70" s="572"/>
    </row>
    <row r="71" spans="1:15" x14ac:dyDescent="0.25">
      <c r="A71" s="22">
        <v>14</v>
      </c>
      <c r="B71" s="26" t="s">
        <v>269</v>
      </c>
      <c r="C71" s="23" t="s">
        <v>1302</v>
      </c>
      <c r="D71" s="20">
        <v>0</v>
      </c>
      <c r="E71" s="23">
        <v>0</v>
      </c>
      <c r="F71" s="23">
        <v>0</v>
      </c>
      <c r="G71" s="227">
        <f t="shared" si="31"/>
        <v>0</v>
      </c>
      <c r="H71" s="268">
        <f t="shared" si="32"/>
        <v>0</v>
      </c>
      <c r="I71" s="642">
        <f t="shared" si="36"/>
        <v>0</v>
      </c>
      <c r="J71" s="642">
        <f t="shared" si="37"/>
        <v>0</v>
      </c>
      <c r="K71" s="642">
        <v>0</v>
      </c>
      <c r="L71" s="522"/>
      <c r="M71" s="522"/>
      <c r="N71" s="522"/>
      <c r="O71" s="572"/>
    </row>
    <row r="72" spans="1:15" x14ac:dyDescent="0.25">
      <c r="A72" s="22">
        <v>15</v>
      </c>
      <c r="B72" s="26" t="s">
        <v>87</v>
      </c>
      <c r="C72" s="23" t="s">
        <v>85</v>
      </c>
      <c r="D72" s="20">
        <v>1</v>
      </c>
      <c r="E72" s="19">
        <v>2</v>
      </c>
      <c r="F72" s="21">
        <v>2250</v>
      </c>
      <c r="G72" s="227">
        <f t="shared" si="31"/>
        <v>4500</v>
      </c>
      <c r="H72" s="268">
        <f t="shared" si="32"/>
        <v>7.6291875762918755</v>
      </c>
      <c r="I72" s="642">
        <v>0</v>
      </c>
      <c r="J72" s="642">
        <v>0</v>
      </c>
      <c r="K72" s="642">
        <v>0</v>
      </c>
      <c r="L72" s="522"/>
      <c r="M72" s="522"/>
      <c r="N72" s="522"/>
      <c r="O72" s="572"/>
    </row>
    <row r="73" spans="1:15" x14ac:dyDescent="0.25">
      <c r="A73" s="22">
        <v>16</v>
      </c>
      <c r="B73" s="26" t="s">
        <v>1303</v>
      </c>
      <c r="C73" s="23" t="s">
        <v>85</v>
      </c>
      <c r="D73" s="20">
        <v>0</v>
      </c>
      <c r="E73" s="19">
        <v>0</v>
      </c>
      <c r="F73" s="21">
        <v>0</v>
      </c>
      <c r="G73" s="227">
        <f t="shared" si="31"/>
        <v>0</v>
      </c>
      <c r="H73" s="268">
        <f t="shared" si="32"/>
        <v>0</v>
      </c>
      <c r="I73" s="642">
        <f t="shared" si="36"/>
        <v>0</v>
      </c>
      <c r="J73" s="642">
        <f t="shared" si="37"/>
        <v>0</v>
      </c>
      <c r="K73" s="642">
        <v>0</v>
      </c>
      <c r="L73" s="522"/>
      <c r="M73" s="522"/>
      <c r="N73" s="522"/>
      <c r="O73" s="572"/>
    </row>
    <row r="74" spans="1:15" x14ac:dyDescent="0.25">
      <c r="A74" s="22">
        <v>17</v>
      </c>
      <c r="B74" s="26" t="s">
        <v>270</v>
      </c>
      <c r="C74" s="23" t="s">
        <v>17</v>
      </c>
      <c r="D74" s="24">
        <v>20</v>
      </c>
      <c r="E74" s="23">
        <v>10</v>
      </c>
      <c r="F74" s="25">
        <v>800</v>
      </c>
      <c r="G74" s="227">
        <f t="shared" si="31"/>
        <v>160000</v>
      </c>
      <c r="H74" s="268">
        <f t="shared" si="32"/>
        <v>271.2600027126</v>
      </c>
      <c r="I74" s="642">
        <v>0</v>
      </c>
      <c r="J74" s="642">
        <v>0</v>
      </c>
      <c r="K74" s="642">
        <v>0</v>
      </c>
      <c r="L74" s="522"/>
      <c r="M74" s="522"/>
      <c r="N74" s="522"/>
      <c r="O74" s="572"/>
    </row>
    <row r="75" spans="1:15" x14ac:dyDescent="0.25">
      <c r="A75" s="22">
        <v>18</v>
      </c>
      <c r="B75" s="26" t="s">
        <v>1304</v>
      </c>
      <c r="C75" s="23" t="s">
        <v>1305</v>
      </c>
      <c r="D75" s="20">
        <v>19</v>
      </c>
      <c r="E75" s="19">
        <v>1</v>
      </c>
      <c r="F75" s="21">
        <v>1500</v>
      </c>
      <c r="G75" s="227">
        <f t="shared" si="31"/>
        <v>28500</v>
      </c>
      <c r="H75" s="268">
        <f t="shared" si="32"/>
        <v>48.318187983181879</v>
      </c>
      <c r="I75" s="642">
        <v>0</v>
      </c>
      <c r="J75" s="642">
        <v>0</v>
      </c>
      <c r="K75" s="642">
        <v>0</v>
      </c>
      <c r="L75" s="522"/>
      <c r="M75" s="522"/>
      <c r="N75" s="522"/>
      <c r="O75" s="572"/>
    </row>
    <row r="76" spans="1:15" ht="16.5" thickBot="1" x14ac:dyDescent="0.3">
      <c r="A76" s="22">
        <v>19</v>
      </c>
      <c r="B76" s="26" t="s">
        <v>265</v>
      </c>
      <c r="C76" s="23" t="s">
        <v>1306</v>
      </c>
      <c r="D76" s="20">
        <v>0</v>
      </c>
      <c r="E76" s="19">
        <v>9</v>
      </c>
      <c r="F76" s="21">
        <v>10000</v>
      </c>
      <c r="G76" s="227">
        <f t="shared" si="31"/>
        <v>0</v>
      </c>
      <c r="H76" s="268">
        <f t="shared" si="32"/>
        <v>0</v>
      </c>
      <c r="I76" s="642">
        <f t="shared" si="36"/>
        <v>0</v>
      </c>
      <c r="J76" s="642">
        <f t="shared" si="37"/>
        <v>0</v>
      </c>
      <c r="K76" s="642">
        <v>0</v>
      </c>
      <c r="L76" s="522"/>
      <c r="M76" s="522"/>
      <c r="N76" s="522"/>
      <c r="O76" s="572"/>
    </row>
    <row r="77" spans="1:15" ht="19.149999999999999" customHeight="1" thickBot="1" x14ac:dyDescent="0.3">
      <c r="A77" s="780" t="s">
        <v>525</v>
      </c>
      <c r="B77" s="781"/>
      <c r="C77" s="781"/>
      <c r="D77" s="781"/>
      <c r="E77" s="783"/>
      <c r="F77" s="348"/>
      <c r="G77" s="349">
        <f>SUM(G58:G76)</f>
        <v>4394650</v>
      </c>
      <c r="H77" s="350">
        <f>SUM(H58:H76)</f>
        <v>7450.5798182557983</v>
      </c>
      <c r="I77" s="692">
        <f>SUM(I58:I76)</f>
        <v>81000</v>
      </c>
      <c r="J77" s="692">
        <f>SUM(J58:J76)</f>
        <v>43200</v>
      </c>
      <c r="K77" s="522"/>
      <c r="L77" s="522"/>
      <c r="M77" s="522"/>
      <c r="N77" s="522"/>
      <c r="O77" s="572"/>
    </row>
    <row r="78" spans="1:15" ht="18" x14ac:dyDescent="0.25">
      <c r="A78" s="233"/>
      <c r="B78" s="234" t="s">
        <v>399</v>
      </c>
      <c r="C78" s="234"/>
      <c r="D78" s="234"/>
      <c r="E78" s="234"/>
      <c r="F78" s="234"/>
      <c r="G78" s="234"/>
      <c r="H78" s="234"/>
      <c r="I78" s="523"/>
      <c r="J78" s="522"/>
      <c r="K78" s="522"/>
      <c r="L78" s="522"/>
      <c r="M78" s="522"/>
      <c r="N78" s="522"/>
      <c r="O78" s="572"/>
    </row>
    <row r="79" spans="1:15" ht="18" x14ac:dyDescent="0.25">
      <c r="A79" s="205"/>
      <c r="B79" s="205" t="s">
        <v>400</v>
      </c>
      <c r="C79" s="205"/>
      <c r="D79" s="205"/>
      <c r="E79" s="205"/>
      <c r="F79" s="205"/>
      <c r="G79" s="205"/>
      <c r="H79" s="355"/>
      <c r="I79" s="523"/>
      <c r="J79" s="522"/>
      <c r="K79" s="522"/>
      <c r="L79" s="522"/>
      <c r="M79" s="522"/>
      <c r="N79" s="522"/>
      <c r="O79" s="572"/>
    </row>
    <row r="80" spans="1:15" x14ac:dyDescent="0.25">
      <c r="A80" s="188">
        <v>1</v>
      </c>
      <c r="B80" s="189" t="s">
        <v>751</v>
      </c>
      <c r="C80" s="225" t="s">
        <v>28</v>
      </c>
      <c r="D80" s="226">
        <v>1</v>
      </c>
      <c r="E80" s="226">
        <v>3</v>
      </c>
      <c r="F80" s="227">
        <v>8000</v>
      </c>
      <c r="G80" s="227">
        <f>D80*E80*F80</f>
        <v>24000</v>
      </c>
      <c r="H80" s="268">
        <f t="shared" ref="H80:H98" si="38">G80/589.84</f>
        <v>40.689000406890003</v>
      </c>
      <c r="I80" s="642">
        <f t="shared" ref="I80:I95" si="39">G80*0.03</f>
        <v>720</v>
      </c>
      <c r="J80" s="642">
        <f>550*D80</f>
        <v>550</v>
      </c>
      <c r="K80" s="642">
        <f t="shared" ref="K80:K95" si="40">G80/D80</f>
        <v>24000</v>
      </c>
      <c r="L80" s="522"/>
      <c r="M80" s="522"/>
      <c r="N80" s="522"/>
      <c r="O80" s="572"/>
    </row>
    <row r="81" spans="1:15" ht="28.5" x14ac:dyDescent="0.25">
      <c r="A81" s="188">
        <v>2</v>
      </c>
      <c r="B81" s="189" t="s">
        <v>752</v>
      </c>
      <c r="C81" s="225" t="s">
        <v>28</v>
      </c>
      <c r="D81" s="226">
        <v>1</v>
      </c>
      <c r="E81" s="226">
        <v>3</v>
      </c>
      <c r="F81" s="227">
        <v>8000</v>
      </c>
      <c r="G81" s="227">
        <f t="shared" ref="G81:G98" si="41">D81*E81*F81</f>
        <v>24000</v>
      </c>
      <c r="H81" s="268">
        <f t="shared" si="38"/>
        <v>40.689000406890003</v>
      </c>
      <c r="I81" s="642">
        <f t="shared" si="39"/>
        <v>720</v>
      </c>
      <c r="J81" s="642">
        <f t="shared" ref="J81:J84" si="42">550*D81</f>
        <v>550</v>
      </c>
      <c r="K81" s="642">
        <f t="shared" si="40"/>
        <v>24000</v>
      </c>
      <c r="L81" s="522"/>
      <c r="M81" s="522"/>
      <c r="N81" s="522"/>
      <c r="O81" s="572"/>
    </row>
    <row r="82" spans="1:15" ht="28.5" x14ac:dyDescent="0.25">
      <c r="A82" s="188">
        <v>3</v>
      </c>
      <c r="B82" s="189" t="s">
        <v>753</v>
      </c>
      <c r="C82" s="225" t="s">
        <v>28</v>
      </c>
      <c r="D82" s="226">
        <v>1</v>
      </c>
      <c r="E82" s="226">
        <v>3</v>
      </c>
      <c r="F82" s="227">
        <v>8000</v>
      </c>
      <c r="G82" s="227">
        <f t="shared" si="41"/>
        <v>24000</v>
      </c>
      <c r="H82" s="268">
        <f t="shared" si="38"/>
        <v>40.689000406890003</v>
      </c>
      <c r="I82" s="642">
        <f t="shared" si="39"/>
        <v>720</v>
      </c>
      <c r="J82" s="642">
        <f t="shared" si="42"/>
        <v>550</v>
      </c>
      <c r="K82" s="642">
        <f t="shared" si="40"/>
        <v>24000</v>
      </c>
      <c r="L82" s="522"/>
      <c r="M82" s="522"/>
      <c r="N82" s="522"/>
      <c r="O82" s="572"/>
    </row>
    <row r="83" spans="1:15" x14ac:dyDescent="0.25">
      <c r="A83" s="188">
        <v>4</v>
      </c>
      <c r="B83" s="189" t="s">
        <v>754</v>
      </c>
      <c r="C83" s="225" t="s">
        <v>28</v>
      </c>
      <c r="D83" s="226">
        <v>1</v>
      </c>
      <c r="E83" s="226">
        <v>3</v>
      </c>
      <c r="F83" s="227">
        <v>5000</v>
      </c>
      <c r="G83" s="227">
        <f t="shared" si="41"/>
        <v>15000</v>
      </c>
      <c r="H83" s="268">
        <f t="shared" si="38"/>
        <v>25.43062525430625</v>
      </c>
      <c r="I83" s="642">
        <f t="shared" si="39"/>
        <v>450</v>
      </c>
      <c r="J83" s="642">
        <f>450*D83</f>
        <v>450</v>
      </c>
      <c r="K83" s="642">
        <f t="shared" si="40"/>
        <v>15000</v>
      </c>
      <c r="L83" s="522"/>
      <c r="M83" s="522"/>
      <c r="N83" s="522"/>
      <c r="O83" s="572"/>
    </row>
    <row r="84" spans="1:15" ht="28.5" x14ac:dyDescent="0.25">
      <c r="A84" s="188">
        <v>5</v>
      </c>
      <c r="B84" s="189" t="s">
        <v>755</v>
      </c>
      <c r="C84" s="225" t="s">
        <v>28</v>
      </c>
      <c r="D84" s="226">
        <v>1</v>
      </c>
      <c r="E84" s="226">
        <v>3</v>
      </c>
      <c r="F84" s="227">
        <v>8000</v>
      </c>
      <c r="G84" s="227">
        <f t="shared" si="41"/>
        <v>24000</v>
      </c>
      <c r="H84" s="268">
        <f t="shared" si="38"/>
        <v>40.689000406890003</v>
      </c>
      <c r="I84" s="642">
        <f t="shared" si="39"/>
        <v>720</v>
      </c>
      <c r="J84" s="642">
        <f t="shared" si="42"/>
        <v>550</v>
      </c>
      <c r="K84" s="642">
        <f t="shared" si="40"/>
        <v>24000</v>
      </c>
      <c r="L84" s="522"/>
      <c r="M84" s="522"/>
      <c r="N84" s="522"/>
      <c r="O84" s="572"/>
    </row>
    <row r="85" spans="1:15" x14ac:dyDescent="0.25">
      <c r="A85" s="188">
        <v>6</v>
      </c>
      <c r="B85" s="189" t="s">
        <v>318</v>
      </c>
      <c r="C85" s="225" t="s">
        <v>28</v>
      </c>
      <c r="D85" s="226">
        <v>2</v>
      </c>
      <c r="E85" s="226">
        <v>3</v>
      </c>
      <c r="F85" s="227">
        <v>5000</v>
      </c>
      <c r="G85" s="227">
        <f t="shared" si="41"/>
        <v>30000</v>
      </c>
      <c r="H85" s="268">
        <f t="shared" si="38"/>
        <v>50.8612505086125</v>
      </c>
      <c r="I85" s="642">
        <f t="shared" si="39"/>
        <v>900</v>
      </c>
      <c r="J85" s="642">
        <f t="shared" ref="J85:J90" si="43">450*D85</f>
        <v>900</v>
      </c>
      <c r="K85" s="642">
        <f t="shared" si="40"/>
        <v>15000</v>
      </c>
      <c r="L85" s="522"/>
      <c r="M85" s="522"/>
      <c r="N85" s="522"/>
      <c r="O85" s="572"/>
    </row>
    <row r="86" spans="1:15" x14ac:dyDescent="0.25">
      <c r="A86" s="188">
        <v>7</v>
      </c>
      <c r="B86" s="189" t="s">
        <v>319</v>
      </c>
      <c r="C86" s="225" t="s">
        <v>28</v>
      </c>
      <c r="D86" s="226">
        <v>2</v>
      </c>
      <c r="E86" s="226">
        <v>3</v>
      </c>
      <c r="F86" s="227">
        <v>5000</v>
      </c>
      <c r="G86" s="227">
        <f t="shared" si="41"/>
        <v>30000</v>
      </c>
      <c r="H86" s="268">
        <f t="shared" si="38"/>
        <v>50.8612505086125</v>
      </c>
      <c r="I86" s="642">
        <f t="shared" si="39"/>
        <v>900</v>
      </c>
      <c r="J86" s="642">
        <f t="shared" si="43"/>
        <v>900</v>
      </c>
      <c r="K86" s="642">
        <f t="shared" si="40"/>
        <v>15000</v>
      </c>
      <c r="L86" s="522"/>
      <c r="M86" s="522"/>
      <c r="N86" s="522"/>
      <c r="O86" s="572"/>
    </row>
    <row r="87" spans="1:15" x14ac:dyDescent="0.25">
      <c r="A87" s="22">
        <v>8</v>
      </c>
      <c r="B87" s="189" t="s">
        <v>1471</v>
      </c>
      <c r="C87" s="225" t="s">
        <v>28</v>
      </c>
      <c r="D87" s="226">
        <v>1</v>
      </c>
      <c r="E87" s="226">
        <v>3</v>
      </c>
      <c r="F87" s="227">
        <v>5000</v>
      </c>
      <c r="G87" s="25">
        <f t="shared" si="41"/>
        <v>15000</v>
      </c>
      <c r="H87" s="268">
        <f t="shared" si="38"/>
        <v>25.43062525430625</v>
      </c>
      <c r="I87" s="642">
        <f t="shared" si="39"/>
        <v>450</v>
      </c>
      <c r="J87" s="642">
        <f t="shared" si="43"/>
        <v>450</v>
      </c>
      <c r="K87" s="642">
        <f t="shared" si="40"/>
        <v>15000</v>
      </c>
      <c r="L87" s="12"/>
      <c r="M87" s="12"/>
      <c r="N87" s="12"/>
      <c r="O87" s="531"/>
    </row>
    <row r="88" spans="1:15" x14ac:dyDescent="0.25">
      <c r="A88" s="22">
        <v>9</v>
      </c>
      <c r="B88" s="189" t="s">
        <v>1472</v>
      </c>
      <c r="C88" s="225" t="s">
        <v>28</v>
      </c>
      <c r="D88" s="226">
        <v>1</v>
      </c>
      <c r="E88" s="226">
        <v>3</v>
      </c>
      <c r="F88" s="227">
        <v>5000</v>
      </c>
      <c r="G88" s="25">
        <f t="shared" si="41"/>
        <v>15000</v>
      </c>
      <c r="H88" s="268">
        <f t="shared" si="38"/>
        <v>25.43062525430625</v>
      </c>
      <c r="I88" s="642">
        <f t="shared" si="39"/>
        <v>450</v>
      </c>
      <c r="J88" s="642">
        <f t="shared" si="43"/>
        <v>450</v>
      </c>
      <c r="K88" s="642">
        <f t="shared" si="40"/>
        <v>15000</v>
      </c>
      <c r="L88" s="12"/>
      <c r="M88" s="12"/>
      <c r="N88" s="12"/>
      <c r="O88" s="531"/>
    </row>
    <row r="89" spans="1:15" x14ac:dyDescent="0.25">
      <c r="A89" s="188">
        <v>10</v>
      </c>
      <c r="B89" s="189" t="s">
        <v>320</v>
      </c>
      <c r="C89" s="225" t="s">
        <v>28</v>
      </c>
      <c r="D89" s="226">
        <v>1</v>
      </c>
      <c r="E89" s="226">
        <v>3</v>
      </c>
      <c r="F89" s="227">
        <v>5000</v>
      </c>
      <c r="G89" s="227">
        <f t="shared" si="41"/>
        <v>15000</v>
      </c>
      <c r="H89" s="268">
        <f t="shared" si="38"/>
        <v>25.43062525430625</v>
      </c>
      <c r="I89" s="642">
        <f t="shared" si="39"/>
        <v>450</v>
      </c>
      <c r="J89" s="642">
        <f t="shared" si="43"/>
        <v>450</v>
      </c>
      <c r="K89" s="642">
        <f t="shared" si="40"/>
        <v>15000</v>
      </c>
      <c r="L89" s="522"/>
      <c r="M89" s="522"/>
      <c r="N89" s="522"/>
      <c r="O89" s="572"/>
    </row>
    <row r="90" spans="1:15" x14ac:dyDescent="0.25">
      <c r="A90" s="188">
        <v>11</v>
      </c>
      <c r="B90" s="189" t="s">
        <v>321</v>
      </c>
      <c r="C90" s="225" t="s">
        <v>28</v>
      </c>
      <c r="D90" s="226">
        <v>1</v>
      </c>
      <c r="E90" s="226">
        <v>3</v>
      </c>
      <c r="F90" s="227">
        <v>5000</v>
      </c>
      <c r="G90" s="227">
        <f t="shared" si="41"/>
        <v>15000</v>
      </c>
      <c r="H90" s="268">
        <f t="shared" si="38"/>
        <v>25.43062525430625</v>
      </c>
      <c r="I90" s="642">
        <f t="shared" si="39"/>
        <v>450</v>
      </c>
      <c r="J90" s="642">
        <f t="shared" si="43"/>
        <v>450</v>
      </c>
      <c r="K90" s="642">
        <f t="shared" si="40"/>
        <v>15000</v>
      </c>
      <c r="L90" s="522"/>
      <c r="M90" s="522"/>
      <c r="N90" s="522"/>
      <c r="O90" s="572"/>
    </row>
    <row r="91" spans="1:15" x14ac:dyDescent="0.25">
      <c r="A91" s="188">
        <v>12</v>
      </c>
      <c r="B91" s="189" t="s">
        <v>1361</v>
      </c>
      <c r="C91" s="225" t="s">
        <v>28</v>
      </c>
      <c r="D91" s="226">
        <v>3</v>
      </c>
      <c r="E91" s="226">
        <v>3</v>
      </c>
      <c r="F91" s="227">
        <v>12500</v>
      </c>
      <c r="G91" s="227">
        <f t="shared" si="41"/>
        <v>112500</v>
      </c>
      <c r="H91" s="268">
        <f t="shared" si="38"/>
        <v>190.72968940729689</v>
      </c>
      <c r="I91" s="642">
        <f t="shared" si="39"/>
        <v>3375</v>
      </c>
      <c r="J91" s="642">
        <f>1050*D91</f>
        <v>3150</v>
      </c>
      <c r="K91" s="642">
        <f t="shared" si="40"/>
        <v>37500</v>
      </c>
      <c r="L91" s="522"/>
      <c r="M91" s="522"/>
      <c r="N91" s="522"/>
      <c r="O91" s="572"/>
    </row>
    <row r="92" spans="1:15" x14ac:dyDescent="0.25">
      <c r="A92" s="188">
        <v>13</v>
      </c>
      <c r="B92" s="189" t="s">
        <v>756</v>
      </c>
      <c r="C92" s="225" t="s">
        <v>28</v>
      </c>
      <c r="D92" s="226">
        <v>2</v>
      </c>
      <c r="E92" s="226">
        <v>5</v>
      </c>
      <c r="F92" s="227">
        <v>25000</v>
      </c>
      <c r="G92" s="227">
        <f t="shared" si="41"/>
        <v>250000</v>
      </c>
      <c r="H92" s="268">
        <f t="shared" si="38"/>
        <v>423.8437542384375</v>
      </c>
      <c r="I92" s="642">
        <f t="shared" si="39"/>
        <v>7500</v>
      </c>
      <c r="J92" s="642">
        <f>1900*D92</f>
        <v>3800</v>
      </c>
      <c r="K92" s="642">
        <f t="shared" si="40"/>
        <v>125000</v>
      </c>
      <c r="L92" s="522"/>
      <c r="M92" s="522"/>
      <c r="N92" s="522"/>
      <c r="O92" s="572"/>
    </row>
    <row r="93" spans="1:15" x14ac:dyDescent="0.25">
      <c r="A93" s="188">
        <v>14</v>
      </c>
      <c r="B93" s="26" t="s">
        <v>271</v>
      </c>
      <c r="C93" s="23" t="s">
        <v>28</v>
      </c>
      <c r="D93" s="24">
        <v>2</v>
      </c>
      <c r="E93" s="226">
        <v>3</v>
      </c>
      <c r="F93" s="25">
        <v>0</v>
      </c>
      <c r="G93" s="227">
        <f t="shared" si="41"/>
        <v>0</v>
      </c>
      <c r="H93" s="268">
        <f t="shared" si="38"/>
        <v>0</v>
      </c>
      <c r="I93" s="642">
        <f t="shared" si="39"/>
        <v>0</v>
      </c>
      <c r="J93" s="642">
        <v>0</v>
      </c>
      <c r="K93" s="642">
        <f t="shared" si="40"/>
        <v>0</v>
      </c>
      <c r="L93" s="522"/>
      <c r="M93" s="522"/>
      <c r="N93" s="522"/>
      <c r="O93" s="572"/>
    </row>
    <row r="94" spans="1:15" x14ac:dyDescent="0.25">
      <c r="A94" s="188">
        <v>15</v>
      </c>
      <c r="B94" s="189" t="s">
        <v>757</v>
      </c>
      <c r="C94" s="225" t="s">
        <v>28</v>
      </c>
      <c r="D94" s="226">
        <v>1</v>
      </c>
      <c r="E94" s="226">
        <v>3</v>
      </c>
      <c r="F94" s="227">
        <v>3000</v>
      </c>
      <c r="G94" s="227">
        <f t="shared" si="41"/>
        <v>9000</v>
      </c>
      <c r="H94" s="268">
        <f t="shared" si="38"/>
        <v>15.258375152583751</v>
      </c>
      <c r="I94" s="642">
        <f t="shared" si="39"/>
        <v>270</v>
      </c>
      <c r="J94" s="642">
        <f>350*D94</f>
        <v>350</v>
      </c>
      <c r="K94" s="642">
        <f t="shared" si="40"/>
        <v>9000</v>
      </c>
      <c r="L94" s="522"/>
      <c r="M94" s="522"/>
      <c r="N94" s="522"/>
      <c r="O94" s="572"/>
    </row>
    <row r="95" spans="1:15" x14ac:dyDescent="0.25">
      <c r="A95" s="188">
        <v>16</v>
      </c>
      <c r="B95" s="189" t="s">
        <v>758</v>
      </c>
      <c r="C95" s="225" t="s">
        <v>28</v>
      </c>
      <c r="D95" s="226">
        <f>SUM(D80:D94)</f>
        <v>21</v>
      </c>
      <c r="E95" s="226">
        <v>3</v>
      </c>
      <c r="F95" s="227">
        <v>6500</v>
      </c>
      <c r="G95" s="227">
        <f t="shared" si="41"/>
        <v>409500</v>
      </c>
      <c r="H95" s="268">
        <f t="shared" si="38"/>
        <v>694.2560694425606</v>
      </c>
      <c r="I95" s="642">
        <f t="shared" si="39"/>
        <v>12285</v>
      </c>
      <c r="J95" s="642">
        <f>550*D95</f>
        <v>11550</v>
      </c>
      <c r="K95" s="642">
        <f t="shared" si="40"/>
        <v>19500</v>
      </c>
      <c r="L95" s="522"/>
      <c r="M95" s="522"/>
      <c r="N95" s="522"/>
      <c r="O95" s="572"/>
    </row>
    <row r="96" spans="1:15" x14ac:dyDescent="0.25">
      <c r="A96" s="188">
        <v>17</v>
      </c>
      <c r="B96" s="189" t="s">
        <v>759</v>
      </c>
      <c r="C96" s="225" t="s">
        <v>90</v>
      </c>
      <c r="D96" s="228">
        <v>50</v>
      </c>
      <c r="E96" s="226">
        <v>3</v>
      </c>
      <c r="F96" s="227">
        <v>800</v>
      </c>
      <c r="G96" s="227">
        <f t="shared" si="41"/>
        <v>120000</v>
      </c>
      <c r="H96" s="268">
        <f t="shared" si="38"/>
        <v>203.44500203445</v>
      </c>
      <c r="I96" s="642">
        <v>0</v>
      </c>
      <c r="J96" s="642">
        <v>0</v>
      </c>
      <c r="K96" s="642">
        <v>0</v>
      </c>
      <c r="L96" s="522"/>
      <c r="M96" s="522"/>
      <c r="N96" s="522"/>
      <c r="O96" s="572"/>
    </row>
    <row r="97" spans="1:15" x14ac:dyDescent="0.25">
      <c r="A97" s="188">
        <v>18</v>
      </c>
      <c r="B97" s="189" t="s">
        <v>1281</v>
      </c>
      <c r="C97" s="225" t="s">
        <v>28</v>
      </c>
      <c r="D97" s="228">
        <v>4</v>
      </c>
      <c r="E97" s="226">
        <v>2</v>
      </c>
      <c r="F97" s="227">
        <v>1500</v>
      </c>
      <c r="G97" s="227">
        <f t="shared" si="41"/>
        <v>12000</v>
      </c>
      <c r="H97" s="268">
        <f t="shared" si="38"/>
        <v>20.344500203445001</v>
      </c>
      <c r="I97" s="642">
        <v>0</v>
      </c>
      <c r="J97" s="642">
        <v>0</v>
      </c>
      <c r="K97" s="642">
        <v>0</v>
      </c>
      <c r="L97" s="522"/>
      <c r="M97" s="522"/>
      <c r="N97" s="522"/>
      <c r="O97" s="572"/>
    </row>
    <row r="98" spans="1:15" ht="16.5" thickBot="1" x14ac:dyDescent="0.3">
      <c r="A98" s="188">
        <v>19</v>
      </c>
      <c r="B98" s="26" t="s">
        <v>273</v>
      </c>
      <c r="C98" s="23" t="s">
        <v>29</v>
      </c>
      <c r="D98" s="24">
        <v>50</v>
      </c>
      <c r="E98" s="226">
        <v>1</v>
      </c>
      <c r="F98" s="25">
        <v>800</v>
      </c>
      <c r="G98" s="227">
        <f t="shared" si="41"/>
        <v>40000</v>
      </c>
      <c r="H98" s="268">
        <f t="shared" si="38"/>
        <v>67.81500067815</v>
      </c>
      <c r="I98" s="642">
        <v>0</v>
      </c>
      <c r="J98" s="642">
        <v>0</v>
      </c>
      <c r="K98" s="642">
        <v>0</v>
      </c>
      <c r="L98" s="522"/>
      <c r="M98" s="522"/>
      <c r="N98" s="522"/>
      <c r="O98" s="572"/>
    </row>
    <row r="99" spans="1:15" ht="18.75" thickBot="1" x14ac:dyDescent="0.3">
      <c r="A99" s="341" t="s">
        <v>1399</v>
      </c>
      <c r="B99" s="342"/>
      <c r="C99" s="343"/>
      <c r="D99" s="343"/>
      <c r="E99" s="343"/>
      <c r="F99" s="344"/>
      <c r="G99" s="344">
        <f>SUM(G80:G98)</f>
        <v>1184000</v>
      </c>
      <c r="H99" s="345">
        <f>SUM(H80:H98)</f>
        <v>2007.32402007324</v>
      </c>
      <c r="I99" s="692">
        <f>SUM(I80:I98)</f>
        <v>30360</v>
      </c>
      <c r="J99" s="692">
        <f>SUM(J80:J98)</f>
        <v>25100</v>
      </c>
      <c r="K99" s="522"/>
      <c r="L99" s="522"/>
      <c r="M99" s="522"/>
      <c r="N99" s="522"/>
      <c r="O99" s="572"/>
    </row>
    <row r="100" spans="1:15" ht="18" x14ac:dyDescent="0.25">
      <c r="A100" s="205"/>
      <c r="B100" s="205" t="s">
        <v>401</v>
      </c>
      <c r="C100" s="205"/>
      <c r="D100" s="205"/>
      <c r="E100" s="205"/>
      <c r="F100" s="205"/>
      <c r="G100" s="205"/>
      <c r="H100" s="355"/>
      <c r="I100" s="523"/>
      <c r="J100" s="522"/>
      <c r="K100" s="522"/>
      <c r="L100" s="522"/>
      <c r="M100" s="522"/>
      <c r="N100" s="522"/>
      <c r="O100" s="572"/>
    </row>
    <row r="101" spans="1:15" x14ac:dyDescent="0.25">
      <c r="A101" s="188">
        <v>1</v>
      </c>
      <c r="B101" s="189" t="s">
        <v>760</v>
      </c>
      <c r="C101" s="225" t="s">
        <v>28</v>
      </c>
      <c r="D101" s="226">
        <v>4</v>
      </c>
      <c r="E101" s="225">
        <v>3</v>
      </c>
      <c r="F101" s="227">
        <v>3000</v>
      </c>
      <c r="G101" s="227">
        <f t="shared" ref="G101:G108" si="44">D101*E101*F101</f>
        <v>36000</v>
      </c>
      <c r="H101" s="268">
        <f t="shared" ref="H101:H108" si="45">G101/589.84</f>
        <v>61.033500610335004</v>
      </c>
      <c r="I101" s="642">
        <f t="shared" ref="I101:I108" si="46">G101*0.03</f>
        <v>1080</v>
      </c>
      <c r="J101" s="642">
        <f>350*D101</f>
        <v>1400</v>
      </c>
      <c r="K101" s="642">
        <f t="shared" ref="K101:K108" si="47">G101/D101</f>
        <v>9000</v>
      </c>
      <c r="L101" s="522"/>
      <c r="M101" s="522"/>
      <c r="N101" s="522"/>
      <c r="O101" s="572"/>
    </row>
    <row r="102" spans="1:15" x14ac:dyDescent="0.25">
      <c r="A102" s="188">
        <v>2</v>
      </c>
      <c r="B102" s="189" t="s">
        <v>727</v>
      </c>
      <c r="C102" s="225" t="s">
        <v>28</v>
      </c>
      <c r="D102" s="226">
        <v>4</v>
      </c>
      <c r="E102" s="225">
        <v>3</v>
      </c>
      <c r="F102" s="227">
        <v>3000</v>
      </c>
      <c r="G102" s="227">
        <f t="shared" si="44"/>
        <v>36000</v>
      </c>
      <c r="H102" s="268">
        <f t="shared" si="45"/>
        <v>61.033500610335004</v>
      </c>
      <c r="I102" s="642">
        <f t="shared" si="46"/>
        <v>1080</v>
      </c>
      <c r="J102" s="642">
        <f t="shared" ref="J102:J108" si="48">350*D102</f>
        <v>1400</v>
      </c>
      <c r="K102" s="642">
        <f t="shared" si="47"/>
        <v>9000</v>
      </c>
      <c r="L102" s="522"/>
      <c r="M102" s="522"/>
      <c r="N102" s="522"/>
      <c r="O102" s="572"/>
    </row>
    <row r="103" spans="1:15" x14ac:dyDescent="0.25">
      <c r="A103" s="188">
        <v>3</v>
      </c>
      <c r="B103" s="189" t="s">
        <v>731</v>
      </c>
      <c r="C103" s="225" t="s">
        <v>28</v>
      </c>
      <c r="D103" s="226">
        <v>12</v>
      </c>
      <c r="E103" s="225">
        <v>3</v>
      </c>
      <c r="F103" s="227">
        <v>3000</v>
      </c>
      <c r="G103" s="227">
        <f t="shared" si="44"/>
        <v>108000</v>
      </c>
      <c r="H103" s="268">
        <f t="shared" si="45"/>
        <v>183.100501831005</v>
      </c>
      <c r="I103" s="642">
        <f t="shared" si="46"/>
        <v>3240</v>
      </c>
      <c r="J103" s="642">
        <f t="shared" si="48"/>
        <v>4200</v>
      </c>
      <c r="K103" s="642">
        <f t="shared" si="47"/>
        <v>9000</v>
      </c>
      <c r="L103" s="522"/>
      <c r="M103" s="522"/>
      <c r="N103" s="522"/>
      <c r="O103" s="572"/>
    </row>
    <row r="104" spans="1:15" x14ac:dyDescent="0.25">
      <c r="A104" s="188">
        <v>4</v>
      </c>
      <c r="B104" s="189" t="s">
        <v>735</v>
      </c>
      <c r="C104" s="225" t="s">
        <v>28</v>
      </c>
      <c r="D104" s="226">
        <v>14</v>
      </c>
      <c r="E104" s="225">
        <v>3</v>
      </c>
      <c r="F104" s="227">
        <v>3000</v>
      </c>
      <c r="G104" s="227">
        <f t="shared" si="44"/>
        <v>126000</v>
      </c>
      <c r="H104" s="268">
        <f t="shared" si="45"/>
        <v>213.61725213617251</v>
      </c>
      <c r="I104" s="642">
        <f t="shared" si="46"/>
        <v>3780</v>
      </c>
      <c r="J104" s="642">
        <f t="shared" si="48"/>
        <v>4900</v>
      </c>
      <c r="K104" s="642">
        <f t="shared" si="47"/>
        <v>9000</v>
      </c>
      <c r="L104" s="522"/>
      <c r="M104" s="522"/>
      <c r="N104" s="522"/>
      <c r="O104" s="572"/>
    </row>
    <row r="105" spans="1:15" x14ac:dyDescent="0.25">
      <c r="A105" s="188">
        <v>5</v>
      </c>
      <c r="B105" s="189" t="s">
        <v>739</v>
      </c>
      <c r="C105" s="225" t="s">
        <v>28</v>
      </c>
      <c r="D105" s="226">
        <v>4</v>
      </c>
      <c r="E105" s="225">
        <v>3</v>
      </c>
      <c r="F105" s="227">
        <v>3000</v>
      </c>
      <c r="G105" s="227">
        <f t="shared" si="44"/>
        <v>36000</v>
      </c>
      <c r="H105" s="268">
        <f t="shared" si="45"/>
        <v>61.033500610335004</v>
      </c>
      <c r="I105" s="642">
        <f t="shared" si="46"/>
        <v>1080</v>
      </c>
      <c r="J105" s="642">
        <f t="shared" si="48"/>
        <v>1400</v>
      </c>
      <c r="K105" s="642">
        <f t="shared" si="47"/>
        <v>9000</v>
      </c>
      <c r="L105" s="522"/>
      <c r="M105" s="522"/>
      <c r="N105" s="522"/>
      <c r="O105" s="572"/>
    </row>
    <row r="106" spans="1:15" x14ac:dyDescent="0.25">
      <c r="A106" s="188">
        <v>6</v>
      </c>
      <c r="B106" s="189" t="s">
        <v>43</v>
      </c>
      <c r="C106" s="225" t="s">
        <v>28</v>
      </c>
      <c r="D106" s="226">
        <v>5</v>
      </c>
      <c r="E106" s="225">
        <v>3</v>
      </c>
      <c r="F106" s="227">
        <v>3000</v>
      </c>
      <c r="G106" s="227">
        <f t="shared" si="44"/>
        <v>45000</v>
      </c>
      <c r="H106" s="268">
        <f t="shared" si="45"/>
        <v>76.29187576291875</v>
      </c>
      <c r="I106" s="642">
        <f t="shared" si="46"/>
        <v>1350</v>
      </c>
      <c r="J106" s="642">
        <f t="shared" si="48"/>
        <v>1750</v>
      </c>
      <c r="K106" s="642">
        <f t="shared" si="47"/>
        <v>9000</v>
      </c>
      <c r="L106" s="522"/>
      <c r="M106" s="522"/>
      <c r="N106" s="522"/>
      <c r="O106" s="572"/>
    </row>
    <row r="107" spans="1:15" x14ac:dyDescent="0.25">
      <c r="A107" s="188">
        <v>7</v>
      </c>
      <c r="B107" s="26" t="s">
        <v>39</v>
      </c>
      <c r="C107" s="23" t="s">
        <v>28</v>
      </c>
      <c r="D107" s="24">
        <v>5</v>
      </c>
      <c r="E107" s="225">
        <v>3</v>
      </c>
      <c r="F107" s="25">
        <v>2000</v>
      </c>
      <c r="G107" s="227">
        <f t="shared" si="44"/>
        <v>30000</v>
      </c>
      <c r="H107" s="268">
        <f t="shared" si="45"/>
        <v>50.8612505086125</v>
      </c>
      <c r="I107" s="642">
        <f t="shared" si="46"/>
        <v>900</v>
      </c>
      <c r="J107" s="642">
        <f>350*D107</f>
        <v>1750</v>
      </c>
      <c r="K107" s="642">
        <f t="shared" si="47"/>
        <v>6000</v>
      </c>
      <c r="L107" s="522"/>
      <c r="M107" s="522"/>
      <c r="N107" s="522"/>
      <c r="O107" s="572"/>
    </row>
    <row r="108" spans="1:15" ht="16.5" thickBot="1" x14ac:dyDescent="0.3">
      <c r="A108" s="188">
        <v>8</v>
      </c>
      <c r="B108" s="189" t="s">
        <v>44</v>
      </c>
      <c r="C108" s="225" t="s">
        <v>28</v>
      </c>
      <c r="D108" s="228">
        <f>SUM(D101:D107)</f>
        <v>48</v>
      </c>
      <c r="E108" s="225">
        <v>3</v>
      </c>
      <c r="F108" s="227">
        <v>3000</v>
      </c>
      <c r="G108" s="227">
        <f t="shared" si="44"/>
        <v>432000</v>
      </c>
      <c r="H108" s="268">
        <f t="shared" si="45"/>
        <v>732.40200732402002</v>
      </c>
      <c r="I108" s="642">
        <f t="shared" si="46"/>
        <v>12960</v>
      </c>
      <c r="J108" s="642">
        <f t="shared" si="48"/>
        <v>16800</v>
      </c>
      <c r="K108" s="642">
        <f t="shared" si="47"/>
        <v>9000</v>
      </c>
      <c r="L108" s="522"/>
      <c r="M108" s="522"/>
      <c r="N108" s="522"/>
      <c r="O108" s="572"/>
    </row>
    <row r="109" spans="1:15" ht="18.75" thickBot="1" x14ac:dyDescent="0.3">
      <c r="A109" s="341" t="s">
        <v>1399</v>
      </c>
      <c r="B109" s="342"/>
      <c r="C109" s="343"/>
      <c r="D109" s="343"/>
      <c r="E109" s="343"/>
      <c r="F109" s="344"/>
      <c r="G109" s="344">
        <f>SUM(G101:G108)</f>
        <v>849000</v>
      </c>
      <c r="H109" s="345">
        <f>SUM(H101:H108)</f>
        <v>1439.3733893937338</v>
      </c>
      <c r="I109" s="692">
        <f>SUM(I101:I108)</f>
        <v>25470</v>
      </c>
      <c r="J109" s="692">
        <f>SUM(J101:J108)</f>
        <v>33600</v>
      </c>
      <c r="K109" s="522"/>
      <c r="L109" s="522"/>
      <c r="M109" s="522"/>
      <c r="N109" s="522"/>
      <c r="O109" s="572"/>
    </row>
    <row r="110" spans="1:15" ht="18" x14ac:dyDescent="0.25">
      <c r="A110" s="205"/>
      <c r="B110" s="205" t="s">
        <v>402</v>
      </c>
      <c r="C110" s="205"/>
      <c r="D110" s="205"/>
      <c r="E110" s="205"/>
      <c r="F110" s="205"/>
      <c r="G110" s="205"/>
      <c r="H110" s="355"/>
      <c r="I110" s="523"/>
      <c r="J110" s="522"/>
      <c r="K110" s="522"/>
      <c r="L110" s="522"/>
      <c r="M110" s="522"/>
      <c r="N110" s="522"/>
      <c r="O110" s="572"/>
    </row>
    <row r="111" spans="1:15" x14ac:dyDescent="0.25">
      <c r="A111" s="188">
        <v>1</v>
      </c>
      <c r="B111" s="189" t="s">
        <v>724</v>
      </c>
      <c r="C111" s="225" t="s">
        <v>28</v>
      </c>
      <c r="D111" s="226">
        <v>2</v>
      </c>
      <c r="E111" s="225">
        <v>1</v>
      </c>
      <c r="F111" s="227">
        <v>2500</v>
      </c>
      <c r="G111" s="227">
        <f t="shared" ref="G111:G117" si="49">D111*E111*F111</f>
        <v>5000</v>
      </c>
      <c r="H111" s="268">
        <f t="shared" ref="H111:H117" si="50">G111/589.84</f>
        <v>8.47687508476875</v>
      </c>
      <c r="I111" s="642">
        <f t="shared" ref="I111:I117" si="51">G111*0.03</f>
        <v>150</v>
      </c>
      <c r="J111" s="642">
        <f>125*D111</f>
        <v>250</v>
      </c>
      <c r="K111" s="642">
        <f t="shared" ref="K111:K117" si="52">G111/D111</f>
        <v>2500</v>
      </c>
      <c r="L111" s="522"/>
      <c r="M111" s="522"/>
      <c r="N111" s="522"/>
      <c r="O111" s="572"/>
    </row>
    <row r="112" spans="1:15" x14ac:dyDescent="0.25">
      <c r="A112" s="188">
        <v>2</v>
      </c>
      <c r="B112" s="189" t="s">
        <v>728</v>
      </c>
      <c r="C112" s="225" t="s">
        <v>28</v>
      </c>
      <c r="D112" s="226">
        <v>2</v>
      </c>
      <c r="E112" s="225">
        <v>1</v>
      </c>
      <c r="F112" s="227">
        <v>2500</v>
      </c>
      <c r="G112" s="227">
        <f t="shared" si="49"/>
        <v>5000</v>
      </c>
      <c r="H112" s="268">
        <f t="shared" si="50"/>
        <v>8.47687508476875</v>
      </c>
      <c r="I112" s="642">
        <f t="shared" si="51"/>
        <v>150</v>
      </c>
      <c r="J112" s="642">
        <f t="shared" ref="J112:J115" si="53">125*D112</f>
        <v>250</v>
      </c>
      <c r="K112" s="642">
        <f t="shared" si="52"/>
        <v>2500</v>
      </c>
      <c r="L112" s="522"/>
      <c r="M112" s="522"/>
      <c r="N112" s="522"/>
      <c r="O112" s="572"/>
    </row>
    <row r="113" spans="1:15" x14ac:dyDescent="0.25">
      <c r="A113" s="188">
        <v>3</v>
      </c>
      <c r="B113" s="189" t="s">
        <v>732</v>
      </c>
      <c r="C113" s="225" t="s">
        <v>28</v>
      </c>
      <c r="D113" s="226">
        <v>6</v>
      </c>
      <c r="E113" s="225">
        <v>1</v>
      </c>
      <c r="F113" s="227">
        <v>2500</v>
      </c>
      <c r="G113" s="227">
        <f t="shared" si="49"/>
        <v>15000</v>
      </c>
      <c r="H113" s="268">
        <f t="shared" si="50"/>
        <v>25.43062525430625</v>
      </c>
      <c r="I113" s="642">
        <f t="shared" si="51"/>
        <v>450</v>
      </c>
      <c r="J113" s="642">
        <f t="shared" si="53"/>
        <v>750</v>
      </c>
      <c r="K113" s="642">
        <f t="shared" si="52"/>
        <v>2500</v>
      </c>
      <c r="L113" s="522"/>
      <c r="M113" s="522"/>
      <c r="N113" s="522"/>
      <c r="O113" s="572"/>
    </row>
    <row r="114" spans="1:15" x14ac:dyDescent="0.25">
      <c r="A114" s="188">
        <v>4</v>
      </c>
      <c r="B114" s="189" t="s">
        <v>736</v>
      </c>
      <c r="C114" s="225" t="s">
        <v>28</v>
      </c>
      <c r="D114" s="226">
        <v>7</v>
      </c>
      <c r="E114" s="225">
        <v>1</v>
      </c>
      <c r="F114" s="227">
        <v>2500</v>
      </c>
      <c r="G114" s="227">
        <f t="shared" si="49"/>
        <v>17500</v>
      </c>
      <c r="H114" s="268">
        <f t="shared" si="50"/>
        <v>29.669062796690625</v>
      </c>
      <c r="I114" s="642">
        <f t="shared" si="51"/>
        <v>525</v>
      </c>
      <c r="J114" s="642">
        <f t="shared" si="53"/>
        <v>875</v>
      </c>
      <c r="K114" s="642">
        <f t="shared" si="52"/>
        <v>2500</v>
      </c>
      <c r="L114" s="522"/>
      <c r="M114" s="522"/>
      <c r="N114" s="522"/>
      <c r="O114" s="572"/>
    </row>
    <row r="115" spans="1:15" x14ac:dyDescent="0.25">
      <c r="A115" s="188">
        <v>5</v>
      </c>
      <c r="B115" s="189" t="s">
        <v>761</v>
      </c>
      <c r="C115" s="225" t="s">
        <v>28</v>
      </c>
      <c r="D115" s="226">
        <v>2</v>
      </c>
      <c r="E115" s="225">
        <v>1</v>
      </c>
      <c r="F115" s="227">
        <v>2500</v>
      </c>
      <c r="G115" s="227">
        <f t="shared" si="49"/>
        <v>5000</v>
      </c>
      <c r="H115" s="268">
        <f t="shared" si="50"/>
        <v>8.47687508476875</v>
      </c>
      <c r="I115" s="642">
        <f t="shared" si="51"/>
        <v>150</v>
      </c>
      <c r="J115" s="642">
        <f t="shared" si="53"/>
        <v>250</v>
      </c>
      <c r="K115" s="642">
        <f t="shared" si="52"/>
        <v>2500</v>
      </c>
      <c r="L115" s="522"/>
      <c r="M115" s="522"/>
      <c r="N115" s="522"/>
      <c r="O115" s="572"/>
    </row>
    <row r="116" spans="1:15" x14ac:dyDescent="0.25">
      <c r="A116" s="188">
        <v>6</v>
      </c>
      <c r="B116" s="189" t="s">
        <v>43</v>
      </c>
      <c r="C116" s="225" t="s">
        <v>28</v>
      </c>
      <c r="D116" s="226">
        <v>5</v>
      </c>
      <c r="E116" s="225">
        <v>1</v>
      </c>
      <c r="F116" s="227">
        <v>3000</v>
      </c>
      <c r="G116" s="227">
        <f t="shared" si="49"/>
        <v>15000</v>
      </c>
      <c r="H116" s="268">
        <f t="shared" si="50"/>
        <v>25.43062525430625</v>
      </c>
      <c r="I116" s="642">
        <f t="shared" si="51"/>
        <v>450</v>
      </c>
      <c r="J116" s="642">
        <f>250*D116</f>
        <v>1250</v>
      </c>
      <c r="K116" s="642">
        <f t="shared" si="52"/>
        <v>3000</v>
      </c>
      <c r="L116" s="522"/>
      <c r="M116" s="522"/>
      <c r="N116" s="522"/>
      <c r="O116" s="572"/>
    </row>
    <row r="117" spans="1:15" ht="16.5" thickBot="1" x14ac:dyDescent="0.3">
      <c r="A117" s="188">
        <v>7</v>
      </c>
      <c r="B117" s="189" t="s">
        <v>48</v>
      </c>
      <c r="C117" s="225" t="s">
        <v>28</v>
      </c>
      <c r="D117" s="228">
        <f>SUM(D111:D116)</f>
        <v>24</v>
      </c>
      <c r="E117" s="229">
        <v>1</v>
      </c>
      <c r="F117" s="227">
        <v>3000</v>
      </c>
      <c r="G117" s="227">
        <f t="shared" si="49"/>
        <v>72000</v>
      </c>
      <c r="H117" s="268">
        <f t="shared" si="50"/>
        <v>122.06700122067001</v>
      </c>
      <c r="I117" s="642">
        <f t="shared" si="51"/>
        <v>2160</v>
      </c>
      <c r="J117" s="642">
        <f>250*D117</f>
        <v>6000</v>
      </c>
      <c r="K117" s="642">
        <f t="shared" si="52"/>
        <v>3000</v>
      </c>
      <c r="L117" s="522"/>
      <c r="M117" s="522"/>
      <c r="N117" s="522"/>
      <c r="O117" s="572"/>
    </row>
    <row r="118" spans="1:15" ht="18.75" thickBot="1" x14ac:dyDescent="0.3">
      <c r="A118" s="341" t="s">
        <v>1399</v>
      </c>
      <c r="B118" s="342"/>
      <c r="C118" s="343"/>
      <c r="D118" s="343"/>
      <c r="E118" s="343"/>
      <c r="F118" s="344"/>
      <c r="G118" s="344">
        <f>SUM(G111:G117)</f>
        <v>134500</v>
      </c>
      <c r="H118" s="345">
        <f>SUM(H111:H117)</f>
        <v>228.02793978027938</v>
      </c>
      <c r="I118" s="692">
        <f>SUM(I111:I117)</f>
        <v>4035</v>
      </c>
      <c r="J118" s="692">
        <f>SUM(J111:J117)</f>
        <v>9625</v>
      </c>
      <c r="K118" s="522"/>
      <c r="L118" s="522"/>
      <c r="M118" s="522"/>
      <c r="N118" s="522"/>
      <c r="O118" s="572"/>
    </row>
    <row r="119" spans="1:15" ht="19.149999999999999" customHeight="1" thickBot="1" x14ac:dyDescent="0.3">
      <c r="A119" s="793" t="s">
        <v>523</v>
      </c>
      <c r="B119" s="794"/>
      <c r="C119" s="794"/>
      <c r="D119" s="794"/>
      <c r="E119" s="795"/>
      <c r="F119" s="250"/>
      <c r="G119" s="251"/>
      <c r="H119" s="372"/>
      <c r="I119" s="523"/>
      <c r="J119" s="522"/>
      <c r="K119" s="522"/>
      <c r="L119" s="522"/>
      <c r="M119" s="522"/>
      <c r="N119" s="522"/>
      <c r="O119" s="572"/>
    </row>
    <row r="120" spans="1:15" ht="18" x14ac:dyDescent="0.25">
      <c r="A120" s="205"/>
      <c r="B120" s="205" t="s">
        <v>403</v>
      </c>
      <c r="C120" s="205"/>
      <c r="D120" s="205"/>
      <c r="E120" s="205"/>
      <c r="F120" s="205"/>
      <c r="G120" s="205"/>
      <c r="H120" s="355"/>
      <c r="I120" s="523"/>
      <c r="J120" s="522"/>
      <c r="K120" s="522"/>
      <c r="L120" s="522"/>
      <c r="M120" s="522"/>
      <c r="N120" s="522"/>
      <c r="O120" s="572"/>
    </row>
    <row r="121" spans="1:15" x14ac:dyDescent="0.25">
      <c r="A121" s="188">
        <v>1</v>
      </c>
      <c r="B121" s="189" t="s">
        <v>766</v>
      </c>
      <c r="C121" s="225" t="s">
        <v>28</v>
      </c>
      <c r="D121" s="226">
        <v>1</v>
      </c>
      <c r="E121" s="225">
        <v>1</v>
      </c>
      <c r="F121" s="227">
        <v>8000</v>
      </c>
      <c r="G121" s="227">
        <f t="shared" ref="G121:G135" si="54">D121*E121*F121</f>
        <v>8000</v>
      </c>
      <c r="H121" s="268">
        <f t="shared" ref="H121:H135" si="55">G121/589.84</f>
        <v>13.56300013563</v>
      </c>
      <c r="I121" s="642">
        <f t="shared" ref="I121:I131" si="56">G121*0.03</f>
        <v>240</v>
      </c>
      <c r="J121" s="642">
        <f>350*D121</f>
        <v>350</v>
      </c>
      <c r="K121" s="642">
        <f t="shared" ref="K121:K132" si="57">G121/D121</f>
        <v>8000</v>
      </c>
      <c r="L121" s="522"/>
      <c r="M121" s="522"/>
      <c r="N121" s="522"/>
      <c r="O121" s="572"/>
    </row>
    <row r="122" spans="1:15" x14ac:dyDescent="0.25">
      <c r="A122" s="188">
        <v>2</v>
      </c>
      <c r="B122" s="189" t="s">
        <v>762</v>
      </c>
      <c r="C122" s="225" t="s">
        <v>28</v>
      </c>
      <c r="D122" s="226">
        <v>1</v>
      </c>
      <c r="E122" s="225">
        <v>1</v>
      </c>
      <c r="F122" s="227">
        <v>8000</v>
      </c>
      <c r="G122" s="227">
        <f t="shared" si="54"/>
        <v>8000</v>
      </c>
      <c r="H122" s="268">
        <f t="shared" si="55"/>
        <v>13.56300013563</v>
      </c>
      <c r="I122" s="642">
        <f t="shared" si="56"/>
        <v>240</v>
      </c>
      <c r="J122" s="642">
        <f t="shared" ref="J122:J125" si="58">350*D122</f>
        <v>350</v>
      </c>
      <c r="K122" s="642">
        <f t="shared" si="57"/>
        <v>8000</v>
      </c>
      <c r="L122" s="522"/>
      <c r="M122" s="522"/>
      <c r="N122" s="522"/>
      <c r="O122" s="572"/>
    </row>
    <row r="123" spans="1:15" x14ac:dyDescent="0.25">
      <c r="A123" s="188">
        <v>3</v>
      </c>
      <c r="B123" s="189" t="s">
        <v>763</v>
      </c>
      <c r="C123" s="225" t="s">
        <v>28</v>
      </c>
      <c r="D123" s="226">
        <v>1</v>
      </c>
      <c r="E123" s="225">
        <v>1</v>
      </c>
      <c r="F123" s="227">
        <v>8000</v>
      </c>
      <c r="G123" s="227">
        <f t="shared" si="54"/>
        <v>8000</v>
      </c>
      <c r="H123" s="268">
        <f t="shared" si="55"/>
        <v>13.56300013563</v>
      </c>
      <c r="I123" s="642">
        <f t="shared" si="56"/>
        <v>240</v>
      </c>
      <c r="J123" s="642">
        <f t="shared" si="58"/>
        <v>350</v>
      </c>
      <c r="K123" s="642">
        <f t="shared" si="57"/>
        <v>8000</v>
      </c>
      <c r="L123" s="522"/>
      <c r="M123" s="522"/>
      <c r="N123" s="522"/>
      <c r="O123" s="572"/>
    </row>
    <row r="124" spans="1:15" x14ac:dyDescent="0.25">
      <c r="A124" s="188">
        <v>4</v>
      </c>
      <c r="B124" s="189" t="s">
        <v>765</v>
      </c>
      <c r="C124" s="225" t="s">
        <v>28</v>
      </c>
      <c r="D124" s="226">
        <v>1</v>
      </c>
      <c r="E124" s="225">
        <v>1</v>
      </c>
      <c r="F124" s="227">
        <v>5000</v>
      </c>
      <c r="G124" s="227">
        <f t="shared" si="54"/>
        <v>5000</v>
      </c>
      <c r="H124" s="268">
        <f t="shared" si="55"/>
        <v>8.47687508476875</v>
      </c>
      <c r="I124" s="642">
        <f t="shared" si="56"/>
        <v>150</v>
      </c>
      <c r="J124" s="642">
        <f>250*D124</f>
        <v>250</v>
      </c>
      <c r="K124" s="642">
        <f t="shared" si="57"/>
        <v>5000</v>
      </c>
      <c r="L124" s="522"/>
      <c r="M124" s="522"/>
      <c r="N124" s="522"/>
      <c r="O124" s="572"/>
    </row>
    <row r="125" spans="1:15" x14ac:dyDescent="0.25">
      <c r="A125" s="188">
        <v>5</v>
      </c>
      <c r="B125" s="189" t="s">
        <v>764</v>
      </c>
      <c r="C125" s="225" t="s">
        <v>28</v>
      </c>
      <c r="D125" s="226">
        <v>1</v>
      </c>
      <c r="E125" s="225">
        <v>1</v>
      </c>
      <c r="F125" s="227">
        <v>8000</v>
      </c>
      <c r="G125" s="227">
        <f t="shared" si="54"/>
        <v>8000</v>
      </c>
      <c r="H125" s="268">
        <f t="shared" si="55"/>
        <v>13.56300013563</v>
      </c>
      <c r="I125" s="642">
        <f t="shared" si="56"/>
        <v>240</v>
      </c>
      <c r="J125" s="642">
        <f t="shared" si="58"/>
        <v>350</v>
      </c>
      <c r="K125" s="642">
        <f t="shared" si="57"/>
        <v>8000</v>
      </c>
      <c r="L125" s="522"/>
      <c r="M125" s="522"/>
      <c r="N125" s="522"/>
      <c r="O125" s="572"/>
    </row>
    <row r="126" spans="1:15" x14ac:dyDescent="0.25">
      <c r="A126" s="188">
        <v>6</v>
      </c>
      <c r="B126" s="189" t="s">
        <v>406</v>
      </c>
      <c r="C126" s="225" t="s">
        <v>28</v>
      </c>
      <c r="D126" s="226">
        <v>1</v>
      </c>
      <c r="E126" s="225">
        <v>1</v>
      </c>
      <c r="F126" s="227">
        <v>5000</v>
      </c>
      <c r="G126" s="227">
        <f t="shared" si="54"/>
        <v>5000</v>
      </c>
      <c r="H126" s="268">
        <f t="shared" si="55"/>
        <v>8.47687508476875</v>
      </c>
      <c r="I126" s="642">
        <f t="shared" si="56"/>
        <v>150</v>
      </c>
      <c r="J126" s="642">
        <f>250*D126</f>
        <v>250</v>
      </c>
      <c r="K126" s="642">
        <f t="shared" si="57"/>
        <v>5000</v>
      </c>
      <c r="L126" s="522"/>
      <c r="M126" s="522"/>
      <c r="N126" s="522"/>
      <c r="O126" s="572"/>
    </row>
    <row r="127" spans="1:15" x14ac:dyDescent="0.25">
      <c r="A127" s="188">
        <v>7</v>
      </c>
      <c r="B127" s="189" t="s">
        <v>407</v>
      </c>
      <c r="C127" s="225" t="s">
        <v>28</v>
      </c>
      <c r="D127" s="226">
        <v>2</v>
      </c>
      <c r="E127" s="225">
        <v>1</v>
      </c>
      <c r="F127" s="227">
        <v>5000</v>
      </c>
      <c r="G127" s="227">
        <f t="shared" si="54"/>
        <v>10000</v>
      </c>
      <c r="H127" s="268">
        <f t="shared" si="55"/>
        <v>16.9537501695375</v>
      </c>
      <c r="I127" s="642">
        <f t="shared" si="56"/>
        <v>300</v>
      </c>
      <c r="J127" s="642">
        <f t="shared" ref="J127:J132" si="59">250*D127</f>
        <v>500</v>
      </c>
      <c r="K127" s="642">
        <f t="shared" si="57"/>
        <v>5000</v>
      </c>
      <c r="L127" s="522"/>
      <c r="M127" s="522"/>
      <c r="N127" s="522"/>
      <c r="O127" s="572"/>
    </row>
    <row r="128" spans="1:15" x14ac:dyDescent="0.25">
      <c r="A128" s="188">
        <v>8</v>
      </c>
      <c r="B128" s="189" t="s">
        <v>408</v>
      </c>
      <c r="C128" s="225" t="s">
        <v>28</v>
      </c>
      <c r="D128" s="226">
        <v>8</v>
      </c>
      <c r="E128" s="225">
        <v>1</v>
      </c>
      <c r="F128" s="227">
        <v>5000</v>
      </c>
      <c r="G128" s="227">
        <f t="shared" si="54"/>
        <v>40000</v>
      </c>
      <c r="H128" s="268">
        <f t="shared" si="55"/>
        <v>67.81500067815</v>
      </c>
      <c r="I128" s="642">
        <f t="shared" si="56"/>
        <v>1200</v>
      </c>
      <c r="J128" s="642">
        <f t="shared" si="59"/>
        <v>2000</v>
      </c>
      <c r="K128" s="642">
        <f t="shared" si="57"/>
        <v>5000</v>
      </c>
      <c r="L128" s="522"/>
      <c r="M128" s="522"/>
      <c r="N128" s="522"/>
      <c r="O128" s="572"/>
    </row>
    <row r="129" spans="1:66" x14ac:dyDescent="0.25">
      <c r="A129" s="188">
        <v>9</v>
      </c>
      <c r="B129" s="189" t="s">
        <v>425</v>
      </c>
      <c r="C129" s="225" t="s">
        <v>28</v>
      </c>
      <c r="D129" s="226">
        <v>2</v>
      </c>
      <c r="E129" s="225">
        <v>1</v>
      </c>
      <c r="F129" s="227">
        <v>0</v>
      </c>
      <c r="G129" s="227">
        <f t="shared" si="54"/>
        <v>0</v>
      </c>
      <c r="H129" s="268">
        <f t="shared" si="55"/>
        <v>0</v>
      </c>
      <c r="I129" s="642">
        <f t="shared" si="56"/>
        <v>0</v>
      </c>
      <c r="J129" s="642">
        <v>0</v>
      </c>
      <c r="K129" s="642">
        <f t="shared" si="57"/>
        <v>0</v>
      </c>
      <c r="L129" s="522"/>
      <c r="M129" s="522"/>
      <c r="N129" s="522"/>
      <c r="O129" s="572"/>
    </row>
    <row r="130" spans="1:66" x14ac:dyDescent="0.25">
      <c r="A130" s="188">
        <v>10</v>
      </c>
      <c r="B130" s="189" t="s">
        <v>423</v>
      </c>
      <c r="C130" s="225" t="s">
        <v>28</v>
      </c>
      <c r="D130" s="226">
        <v>1</v>
      </c>
      <c r="E130" s="225">
        <v>1</v>
      </c>
      <c r="F130" s="227">
        <v>5000</v>
      </c>
      <c r="G130" s="227">
        <f t="shared" si="54"/>
        <v>5000</v>
      </c>
      <c r="H130" s="268">
        <f t="shared" si="55"/>
        <v>8.47687508476875</v>
      </c>
      <c r="I130" s="642">
        <f t="shared" si="56"/>
        <v>150</v>
      </c>
      <c r="J130" s="642">
        <f t="shared" si="59"/>
        <v>250</v>
      </c>
      <c r="K130" s="642">
        <f t="shared" si="57"/>
        <v>5000</v>
      </c>
      <c r="L130" s="522"/>
      <c r="M130" s="522"/>
      <c r="N130" s="522"/>
      <c r="O130" s="572"/>
    </row>
    <row r="131" spans="1:66" x14ac:dyDescent="0.25">
      <c r="A131" s="188">
        <v>11</v>
      </c>
      <c r="B131" s="189" t="s">
        <v>424</v>
      </c>
      <c r="C131" s="225" t="s">
        <v>28</v>
      </c>
      <c r="D131" s="226">
        <v>1</v>
      </c>
      <c r="E131" s="225">
        <v>1</v>
      </c>
      <c r="F131" s="227">
        <v>5000</v>
      </c>
      <c r="G131" s="227">
        <f t="shared" si="54"/>
        <v>5000</v>
      </c>
      <c r="H131" s="268">
        <f t="shared" si="55"/>
        <v>8.47687508476875</v>
      </c>
      <c r="I131" s="642">
        <f t="shared" si="56"/>
        <v>150</v>
      </c>
      <c r="J131" s="642">
        <f t="shared" si="59"/>
        <v>250</v>
      </c>
      <c r="K131" s="642">
        <f t="shared" si="57"/>
        <v>5000</v>
      </c>
      <c r="L131" s="522"/>
      <c r="M131" s="522"/>
      <c r="N131" s="522"/>
      <c r="O131" s="572"/>
    </row>
    <row r="132" spans="1:66" x14ac:dyDescent="0.25">
      <c r="A132" s="188">
        <v>12</v>
      </c>
      <c r="B132" s="189" t="s">
        <v>409</v>
      </c>
      <c r="C132" s="225" t="s">
        <v>28</v>
      </c>
      <c r="D132" s="226">
        <v>1</v>
      </c>
      <c r="E132" s="225">
        <v>1</v>
      </c>
      <c r="F132" s="227">
        <v>3000</v>
      </c>
      <c r="G132" s="227">
        <f t="shared" si="54"/>
        <v>3000</v>
      </c>
      <c r="H132" s="268">
        <f t="shared" si="55"/>
        <v>5.0861250508612503</v>
      </c>
      <c r="I132" s="642">
        <f>G132*0.03</f>
        <v>90</v>
      </c>
      <c r="J132" s="642">
        <f t="shared" si="59"/>
        <v>250</v>
      </c>
      <c r="K132" s="642">
        <f t="shared" si="57"/>
        <v>3000</v>
      </c>
      <c r="L132" s="522"/>
      <c r="M132" s="522"/>
      <c r="N132" s="522"/>
      <c r="O132" s="572"/>
    </row>
    <row r="133" spans="1:66" x14ac:dyDescent="0.25">
      <c r="A133" s="188">
        <v>13</v>
      </c>
      <c r="B133" s="189" t="s">
        <v>426</v>
      </c>
      <c r="C133" s="225" t="s">
        <v>28</v>
      </c>
      <c r="D133" s="226">
        <f>SUM(D121:D132)</f>
        <v>21</v>
      </c>
      <c r="E133" s="225">
        <v>1</v>
      </c>
      <c r="F133" s="227">
        <v>5000</v>
      </c>
      <c r="G133" s="227">
        <f t="shared" si="54"/>
        <v>105000</v>
      </c>
      <c r="H133" s="268">
        <f t="shared" si="55"/>
        <v>178.01437678014375</v>
      </c>
      <c r="I133" s="642">
        <v>0</v>
      </c>
      <c r="J133" s="642">
        <v>0</v>
      </c>
      <c r="K133" s="642">
        <v>0</v>
      </c>
      <c r="L133" s="522"/>
      <c r="M133" s="522"/>
      <c r="N133" s="522"/>
      <c r="O133" s="572"/>
    </row>
    <row r="134" spans="1:66" x14ac:dyDescent="0.25">
      <c r="A134" s="188">
        <v>14</v>
      </c>
      <c r="B134" s="189" t="s">
        <v>410</v>
      </c>
      <c r="C134" s="225" t="s">
        <v>28</v>
      </c>
      <c r="D134" s="226">
        <v>4</v>
      </c>
      <c r="E134" s="225">
        <v>2</v>
      </c>
      <c r="F134" s="227">
        <v>1500</v>
      </c>
      <c r="G134" s="227">
        <f t="shared" si="54"/>
        <v>12000</v>
      </c>
      <c r="H134" s="268">
        <f t="shared" si="55"/>
        <v>20.344500203445001</v>
      </c>
      <c r="I134" s="642">
        <v>0</v>
      </c>
      <c r="J134" s="642">
        <v>0</v>
      </c>
      <c r="K134" s="642">
        <f t="shared" ref="K134:K135" si="60">I134*0.03</f>
        <v>0</v>
      </c>
      <c r="L134" s="522"/>
      <c r="M134" s="522"/>
      <c r="N134" s="522"/>
      <c r="O134" s="572"/>
    </row>
    <row r="135" spans="1:66" ht="16.5" thickBot="1" x14ac:dyDescent="0.3">
      <c r="A135" s="370">
        <v>15</v>
      </c>
      <c r="B135" s="26" t="s">
        <v>273</v>
      </c>
      <c r="C135" s="39" t="s">
        <v>29</v>
      </c>
      <c r="D135" s="24">
        <v>20</v>
      </c>
      <c r="E135" s="23">
        <v>1</v>
      </c>
      <c r="F135" s="25">
        <v>800</v>
      </c>
      <c r="G135" s="227">
        <f t="shared" si="54"/>
        <v>16000</v>
      </c>
      <c r="H135" s="268">
        <f t="shared" si="55"/>
        <v>27.126000271260001</v>
      </c>
      <c r="I135" s="642">
        <v>0</v>
      </c>
      <c r="J135" s="642">
        <v>0</v>
      </c>
      <c r="K135" s="642">
        <f t="shared" si="60"/>
        <v>0</v>
      </c>
      <c r="L135" s="522"/>
      <c r="M135" s="522"/>
      <c r="N135" s="522"/>
      <c r="O135" s="572"/>
    </row>
    <row r="136" spans="1:66" ht="19.149999999999999" customHeight="1" thickBot="1" x14ac:dyDescent="0.3">
      <c r="A136" s="793" t="s">
        <v>527</v>
      </c>
      <c r="B136" s="794"/>
      <c r="C136" s="794"/>
      <c r="D136" s="794"/>
      <c r="E136" s="795"/>
      <c r="F136" s="250"/>
      <c r="G136" s="697">
        <f>SUM(G121:G135)</f>
        <v>238000</v>
      </c>
      <c r="H136" s="698">
        <f>SUM(H121:H135)</f>
        <v>403.49925403499253</v>
      </c>
      <c r="I136" s="692">
        <f>SUM(I121:I135)</f>
        <v>3150</v>
      </c>
      <c r="J136" s="692">
        <f>SUM(J121:J135)</f>
        <v>5150</v>
      </c>
      <c r="K136" s="522"/>
      <c r="L136" s="522"/>
      <c r="M136" s="522"/>
      <c r="N136" s="522"/>
      <c r="O136" s="572"/>
    </row>
    <row r="137" spans="1:66" ht="18" x14ac:dyDescent="0.25">
      <c r="A137" s="233"/>
      <c r="B137" s="234" t="s">
        <v>427</v>
      </c>
      <c r="C137" s="234"/>
      <c r="D137" s="234"/>
      <c r="E137" s="234"/>
      <c r="F137" s="234"/>
      <c r="G137" s="234"/>
      <c r="H137" s="234"/>
      <c r="I137" s="523"/>
      <c r="J137" s="522"/>
      <c r="K137" s="522"/>
      <c r="L137" s="522"/>
      <c r="M137" s="522"/>
      <c r="N137" s="522"/>
      <c r="O137" s="572"/>
    </row>
    <row r="138" spans="1:66" ht="18" x14ac:dyDescent="0.25">
      <c r="A138" s="205"/>
      <c r="B138" s="205" t="s">
        <v>433</v>
      </c>
      <c r="C138" s="205"/>
      <c r="D138" s="205"/>
      <c r="E138" s="205"/>
      <c r="F138" s="205"/>
      <c r="G138" s="205"/>
      <c r="H138" s="355"/>
      <c r="I138" s="523"/>
      <c r="J138" s="522"/>
      <c r="K138" s="522"/>
      <c r="L138" s="522"/>
      <c r="M138" s="522"/>
      <c r="N138" s="522"/>
      <c r="O138" s="572"/>
    </row>
    <row r="139" spans="1:66" x14ac:dyDescent="0.25">
      <c r="A139" s="188">
        <v>1</v>
      </c>
      <c r="B139" s="189" t="s">
        <v>767</v>
      </c>
      <c r="C139" s="225" t="s">
        <v>28</v>
      </c>
      <c r="D139" s="403">
        <v>19</v>
      </c>
      <c r="E139" s="225">
        <v>1</v>
      </c>
      <c r="F139" s="227">
        <f>7500-5000</f>
        <v>2500</v>
      </c>
      <c r="G139" s="227">
        <f t="shared" ref="G139:G147" si="61">D139*E139*F139</f>
        <v>47500</v>
      </c>
      <c r="H139" s="268">
        <f t="shared" ref="H139:H147" si="62">G139/589.84</f>
        <v>80.530313305303125</v>
      </c>
      <c r="I139" s="642">
        <f t="shared" ref="I139:I145" si="63">G139*0.03</f>
        <v>1425</v>
      </c>
      <c r="J139" s="642">
        <f>125*D139</f>
        <v>2375</v>
      </c>
      <c r="K139" s="642">
        <f t="shared" ref="K139:K145" si="64">G139/D139</f>
        <v>2500</v>
      </c>
      <c r="L139" s="522"/>
      <c r="M139" s="522"/>
      <c r="N139" s="522"/>
      <c r="O139" s="572"/>
    </row>
    <row r="140" spans="1:66" x14ac:dyDescent="0.25">
      <c r="A140" s="188">
        <v>2</v>
      </c>
      <c r="B140" s="189" t="s">
        <v>768</v>
      </c>
      <c r="C140" s="225" t="s">
        <v>28</v>
      </c>
      <c r="D140" s="403">
        <v>14</v>
      </c>
      <c r="E140" s="225">
        <v>1</v>
      </c>
      <c r="F140" s="227">
        <f t="shared" ref="F140:F143" si="65">7500-5000</f>
        <v>2500</v>
      </c>
      <c r="G140" s="227">
        <f t="shared" si="61"/>
        <v>35000</v>
      </c>
      <c r="H140" s="268">
        <f t="shared" si="62"/>
        <v>59.33812559338125</v>
      </c>
      <c r="I140" s="642">
        <f t="shared" si="63"/>
        <v>1050</v>
      </c>
      <c r="J140" s="642">
        <f t="shared" ref="J140:J143" si="66">125*D140</f>
        <v>1750</v>
      </c>
      <c r="K140" s="642">
        <f t="shared" si="64"/>
        <v>2500</v>
      </c>
      <c r="L140" s="522"/>
      <c r="M140" s="522"/>
      <c r="N140" s="522"/>
      <c r="O140" s="572"/>
    </row>
    <row r="141" spans="1:66" x14ac:dyDescent="0.25">
      <c r="A141" s="188">
        <v>3</v>
      </c>
      <c r="B141" s="189" t="s">
        <v>769</v>
      </c>
      <c r="C141" s="225" t="s">
        <v>28</v>
      </c>
      <c r="D141" s="403">
        <v>31</v>
      </c>
      <c r="E141" s="225">
        <v>1</v>
      </c>
      <c r="F141" s="227">
        <f t="shared" si="65"/>
        <v>2500</v>
      </c>
      <c r="G141" s="227">
        <f t="shared" si="61"/>
        <v>77500</v>
      </c>
      <c r="H141" s="268">
        <f t="shared" si="62"/>
        <v>131.39156381391564</v>
      </c>
      <c r="I141" s="642">
        <f t="shared" si="63"/>
        <v>2325</v>
      </c>
      <c r="J141" s="642">
        <f t="shared" si="66"/>
        <v>3875</v>
      </c>
      <c r="K141" s="642">
        <f t="shared" si="64"/>
        <v>2500</v>
      </c>
      <c r="L141" s="522"/>
      <c r="M141" s="522"/>
      <c r="N141" s="522"/>
      <c r="O141" s="572"/>
    </row>
    <row r="142" spans="1:66" x14ac:dyDescent="0.25">
      <c r="A142" s="188">
        <v>4</v>
      </c>
      <c r="B142" s="189" t="s">
        <v>770</v>
      </c>
      <c r="C142" s="225" t="s">
        <v>28</v>
      </c>
      <c r="D142" s="403">
        <v>44</v>
      </c>
      <c r="E142" s="225">
        <v>1</v>
      </c>
      <c r="F142" s="227">
        <f t="shared" si="65"/>
        <v>2500</v>
      </c>
      <c r="G142" s="227">
        <f t="shared" si="61"/>
        <v>110000</v>
      </c>
      <c r="H142" s="268">
        <f t="shared" si="62"/>
        <v>186.4912518649125</v>
      </c>
      <c r="I142" s="642">
        <f t="shared" si="63"/>
        <v>3300</v>
      </c>
      <c r="J142" s="642">
        <f t="shared" si="66"/>
        <v>5500</v>
      </c>
      <c r="K142" s="642">
        <f t="shared" si="64"/>
        <v>2500</v>
      </c>
      <c r="L142" s="522"/>
      <c r="M142" s="522"/>
      <c r="N142" s="522"/>
      <c r="O142" s="572"/>
    </row>
    <row r="143" spans="1:66" x14ac:dyDescent="0.25">
      <c r="A143" s="188">
        <v>5</v>
      </c>
      <c r="B143" s="189" t="s">
        <v>771</v>
      </c>
      <c r="C143" s="225" t="s">
        <v>28</v>
      </c>
      <c r="D143" s="403">
        <v>13</v>
      </c>
      <c r="E143" s="225">
        <v>1</v>
      </c>
      <c r="F143" s="227">
        <f t="shared" si="65"/>
        <v>2500</v>
      </c>
      <c r="G143" s="227">
        <f t="shared" si="61"/>
        <v>32500</v>
      </c>
      <c r="H143" s="268">
        <f t="shared" si="62"/>
        <v>55.099688050996875</v>
      </c>
      <c r="I143" s="642">
        <f t="shared" si="63"/>
        <v>975</v>
      </c>
      <c r="J143" s="642">
        <f t="shared" si="66"/>
        <v>1625</v>
      </c>
      <c r="K143" s="642">
        <f t="shared" si="64"/>
        <v>2500</v>
      </c>
      <c r="L143" s="522"/>
      <c r="M143" s="522"/>
      <c r="N143" s="522"/>
      <c r="O143" s="572"/>
    </row>
    <row r="144" spans="1:66" s="34" customFormat="1" x14ac:dyDescent="0.25">
      <c r="A144" s="188">
        <v>6</v>
      </c>
      <c r="B144" s="189" t="s">
        <v>429</v>
      </c>
      <c r="C144" s="225" t="s">
        <v>28</v>
      </c>
      <c r="D144" s="403">
        <v>5</v>
      </c>
      <c r="E144" s="225">
        <v>1</v>
      </c>
      <c r="F144" s="227">
        <v>3000</v>
      </c>
      <c r="G144" s="227">
        <f t="shared" si="61"/>
        <v>15000</v>
      </c>
      <c r="H144" s="268">
        <f t="shared" si="62"/>
        <v>25.43062525430625</v>
      </c>
      <c r="I144" s="642">
        <f t="shared" si="63"/>
        <v>450</v>
      </c>
      <c r="J144" s="642">
        <f>250*D144</f>
        <v>1250</v>
      </c>
      <c r="K144" s="642">
        <f t="shared" si="64"/>
        <v>3000</v>
      </c>
      <c r="L144" s="522"/>
      <c r="M144" s="522"/>
      <c r="N144" s="522"/>
      <c r="O144" s="572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</row>
    <row r="145" spans="1:67" s="34" customFormat="1" x14ac:dyDescent="0.25">
      <c r="A145" s="188">
        <v>7</v>
      </c>
      <c r="B145" s="189" t="s">
        <v>430</v>
      </c>
      <c r="C145" s="225" t="s">
        <v>28</v>
      </c>
      <c r="D145" s="403">
        <v>2</v>
      </c>
      <c r="E145" s="225">
        <v>2</v>
      </c>
      <c r="F145" s="227">
        <v>25000</v>
      </c>
      <c r="G145" s="227">
        <f t="shared" si="61"/>
        <v>100000</v>
      </c>
      <c r="H145" s="268">
        <f t="shared" si="62"/>
        <v>169.537501695375</v>
      </c>
      <c r="I145" s="642">
        <f t="shared" si="63"/>
        <v>3000</v>
      </c>
      <c r="J145" s="642">
        <f>1050*D145</f>
        <v>2100</v>
      </c>
      <c r="K145" s="642">
        <f t="shared" si="64"/>
        <v>50000</v>
      </c>
      <c r="L145" s="522"/>
      <c r="M145" s="522"/>
      <c r="N145" s="522"/>
      <c r="O145" s="572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</row>
    <row r="146" spans="1:67" s="34" customFormat="1" x14ac:dyDescent="0.25">
      <c r="A146" s="188">
        <v>8</v>
      </c>
      <c r="B146" s="189" t="s">
        <v>431</v>
      </c>
      <c r="C146" s="225" t="s">
        <v>30</v>
      </c>
      <c r="D146" s="403">
        <v>0</v>
      </c>
      <c r="E146" s="225">
        <v>1</v>
      </c>
      <c r="F146" s="227">
        <v>850</v>
      </c>
      <c r="G146" s="227">
        <f t="shared" si="61"/>
        <v>0</v>
      </c>
      <c r="H146" s="268">
        <f t="shared" si="62"/>
        <v>0</v>
      </c>
      <c r="I146" s="642">
        <f t="shared" ref="I146:I147" si="67">G146*0.03</f>
        <v>0</v>
      </c>
      <c r="J146" s="642">
        <f t="shared" ref="J146:J147" si="68">1050*D146</f>
        <v>0</v>
      </c>
      <c r="K146" s="642">
        <v>0</v>
      </c>
      <c r="L146" s="522"/>
      <c r="M146" s="522"/>
      <c r="N146" s="522"/>
      <c r="O146" s="572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</row>
    <row r="147" spans="1:67" s="34" customFormat="1" ht="16.5" thickBot="1" x14ac:dyDescent="0.3">
      <c r="A147" s="188">
        <v>9</v>
      </c>
      <c r="B147" s="189" t="s">
        <v>432</v>
      </c>
      <c r="C147" s="225" t="s">
        <v>17</v>
      </c>
      <c r="D147" s="406">
        <v>0</v>
      </c>
      <c r="E147" s="229">
        <v>1</v>
      </c>
      <c r="F147" s="227">
        <v>800</v>
      </c>
      <c r="G147" s="227">
        <f t="shared" si="61"/>
        <v>0</v>
      </c>
      <c r="H147" s="268">
        <f t="shared" si="62"/>
        <v>0</v>
      </c>
      <c r="I147" s="642">
        <f t="shared" si="67"/>
        <v>0</v>
      </c>
      <c r="J147" s="642">
        <f t="shared" si="68"/>
        <v>0</v>
      </c>
      <c r="K147" s="642">
        <v>0</v>
      </c>
      <c r="L147" s="522"/>
      <c r="M147" s="522"/>
      <c r="N147" s="522"/>
      <c r="O147" s="572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</row>
    <row r="148" spans="1:67" s="34" customFormat="1" ht="18.75" thickBot="1" x14ac:dyDescent="0.3">
      <c r="A148" s="341" t="s">
        <v>1399</v>
      </c>
      <c r="B148" s="342"/>
      <c r="C148" s="343"/>
      <c r="D148" s="343"/>
      <c r="E148" s="343"/>
      <c r="F148" s="344"/>
      <c r="G148" s="344">
        <f>SUM(G139:G147)</f>
        <v>417500</v>
      </c>
      <c r="H148" s="449">
        <f>SUM(H139:H147)</f>
        <v>707.81906957819069</v>
      </c>
      <c r="I148" s="692">
        <f>SUM(I139:I147)</f>
        <v>12525</v>
      </c>
      <c r="J148" s="692">
        <f>SUM(J139:J147)</f>
        <v>18475</v>
      </c>
      <c r="K148" s="522"/>
      <c r="L148" s="522"/>
      <c r="M148" s="522"/>
      <c r="N148" s="522"/>
      <c r="O148" s="572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</row>
    <row r="149" spans="1:67" s="48" customFormat="1" ht="18.75" thickBot="1" x14ac:dyDescent="0.3">
      <c r="A149" s="18"/>
      <c r="B149" s="18" t="s">
        <v>1389</v>
      </c>
      <c r="C149" s="18"/>
      <c r="D149" s="18"/>
      <c r="E149" s="18"/>
      <c r="F149" s="18"/>
      <c r="G149" s="18"/>
      <c r="H149" s="18"/>
      <c r="I149" s="523"/>
      <c r="J149" s="522"/>
      <c r="K149" s="522"/>
      <c r="L149" s="522"/>
      <c r="M149" s="522"/>
      <c r="N149" s="522"/>
      <c r="O149" s="572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</row>
    <row r="150" spans="1:67" s="48" customFormat="1" ht="16.5" thickBot="1" x14ac:dyDescent="0.3">
      <c r="A150" s="588">
        <v>1</v>
      </c>
      <c r="B150" s="417" t="s">
        <v>1388</v>
      </c>
      <c r="C150" s="404" t="s">
        <v>28</v>
      </c>
      <c r="D150" s="403">
        <v>15</v>
      </c>
      <c r="E150" s="404">
        <v>1</v>
      </c>
      <c r="F150" s="405">
        <v>5000</v>
      </c>
      <c r="G150" s="405">
        <f t="shared" ref="G150:G153" si="69">D150*E150*F150</f>
        <v>75000</v>
      </c>
      <c r="H150" s="450">
        <f t="shared" ref="H150:H153" si="70">G150/589.84</f>
        <v>127.15312627153125</v>
      </c>
      <c r="I150" s="642">
        <f t="shared" ref="I150:I151" si="71">G150*0.03</f>
        <v>2250</v>
      </c>
      <c r="J150" s="642">
        <f>250*D150</f>
        <v>3750</v>
      </c>
      <c r="K150" s="642">
        <f t="shared" ref="K150:K151" si="72">G150/D150</f>
        <v>5000</v>
      </c>
      <c r="L150" s="522"/>
      <c r="M150" s="522"/>
      <c r="N150" s="522"/>
      <c r="O150" s="572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</row>
    <row r="151" spans="1:67" s="48" customFormat="1" ht="16.5" thickBot="1" x14ac:dyDescent="0.3">
      <c r="A151" s="188">
        <v>2</v>
      </c>
      <c r="B151" s="412" t="s">
        <v>1474</v>
      </c>
      <c r="C151" s="404" t="s">
        <v>1475</v>
      </c>
      <c r="D151" s="403">
        <v>2</v>
      </c>
      <c r="E151" s="404">
        <v>1</v>
      </c>
      <c r="F151" s="405">
        <v>50000</v>
      </c>
      <c r="G151" s="405">
        <f t="shared" si="69"/>
        <v>100000</v>
      </c>
      <c r="H151" s="409">
        <f t="shared" si="70"/>
        <v>169.537501695375</v>
      </c>
      <c r="I151" s="642">
        <f t="shared" si="71"/>
        <v>3000</v>
      </c>
      <c r="J151" s="642">
        <f>1050*D151</f>
        <v>2100</v>
      </c>
      <c r="K151" s="642">
        <f t="shared" si="72"/>
        <v>50000</v>
      </c>
      <c r="L151" s="522"/>
      <c r="M151" s="522"/>
      <c r="N151" s="522"/>
      <c r="O151" s="572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</row>
    <row r="152" spans="1:67" ht="18.75" thickBot="1" x14ac:dyDescent="0.3">
      <c r="A152" s="342" t="s">
        <v>1422</v>
      </c>
      <c r="B152" s="342"/>
      <c r="C152" s="343"/>
      <c r="D152" s="343"/>
      <c r="E152" s="343"/>
      <c r="F152" s="344"/>
      <c r="G152" s="344">
        <f>SUM(G150:G151)</f>
        <v>175000</v>
      </c>
      <c r="H152" s="345">
        <f>SUM(H150:H151)</f>
        <v>296.69062796690628</v>
      </c>
      <c r="I152" s="692">
        <f>SUM(I150:I151)</f>
        <v>5250</v>
      </c>
      <c r="J152" s="692">
        <f>SUM(J150:J151)</f>
        <v>5850</v>
      </c>
      <c r="K152" s="12"/>
      <c r="L152" s="12"/>
      <c r="M152" s="12"/>
      <c r="N152" s="12"/>
      <c r="O152" s="524"/>
    </row>
    <row r="153" spans="1:67" s="48" customFormat="1" ht="15" customHeight="1" thickBot="1" x14ac:dyDescent="0.3">
      <c r="A153" s="588">
        <v>1</v>
      </c>
      <c r="B153" s="417" t="s">
        <v>434</v>
      </c>
      <c r="C153" s="404"/>
      <c r="D153" s="403">
        <v>1</v>
      </c>
      <c r="E153" s="404">
        <v>1</v>
      </c>
      <c r="F153" s="405">
        <v>100000</v>
      </c>
      <c r="G153" s="405">
        <f t="shared" si="69"/>
        <v>100000</v>
      </c>
      <c r="H153" s="450">
        <f t="shared" si="70"/>
        <v>169.537501695375</v>
      </c>
      <c r="I153" s="642">
        <f t="shared" ref="I153" si="73">G153*0.03</f>
        <v>3000</v>
      </c>
      <c r="J153" s="642">
        <f>1600*D153</f>
        <v>1600</v>
      </c>
      <c r="K153" s="642">
        <f t="shared" ref="K153" si="74">G153/D153</f>
        <v>100000</v>
      </c>
      <c r="L153" s="522"/>
      <c r="M153" s="522"/>
      <c r="N153" s="522"/>
      <c r="O153" s="572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</row>
    <row r="154" spans="1:67" s="48" customFormat="1" ht="18" x14ac:dyDescent="0.25">
      <c r="A154" s="18"/>
      <c r="B154" s="18" t="s">
        <v>1390</v>
      </c>
      <c r="C154" s="18"/>
      <c r="D154" s="18"/>
      <c r="E154" s="18"/>
      <c r="F154" s="18"/>
      <c r="G154" s="18"/>
      <c r="H154" s="18"/>
      <c r="I154" s="523"/>
      <c r="J154" s="522"/>
      <c r="K154" s="522"/>
      <c r="L154" s="522"/>
      <c r="M154" s="522"/>
      <c r="N154" s="522"/>
      <c r="O154" s="572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</row>
    <row r="155" spans="1:67" s="48" customFormat="1" x14ac:dyDescent="0.25">
      <c r="A155" s="447">
        <v>1</v>
      </c>
      <c r="B155" s="575" t="s">
        <v>1391</v>
      </c>
      <c r="C155" s="575" t="s">
        <v>17</v>
      </c>
      <c r="D155" s="576">
        <v>200</v>
      </c>
      <c r="E155" s="576">
        <v>1</v>
      </c>
      <c r="F155" s="405">
        <v>800</v>
      </c>
      <c r="G155" s="424">
        <f>+D155*E155*F155</f>
        <v>160000</v>
      </c>
      <c r="H155" s="435">
        <f>+G155/589.84</f>
        <v>271.2600027126</v>
      </c>
      <c r="I155" s="528"/>
      <c r="J155" s="529"/>
      <c r="K155" s="529"/>
      <c r="L155" s="529"/>
      <c r="M155" s="529"/>
      <c r="N155" s="529"/>
      <c r="O155" s="573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</row>
    <row r="156" spans="1:67" s="430" customFormat="1" x14ac:dyDescent="0.25">
      <c r="A156" s="447">
        <v>2</v>
      </c>
      <c r="B156" s="577" t="s">
        <v>1339</v>
      </c>
      <c r="C156" s="577" t="s">
        <v>28</v>
      </c>
      <c r="D156" s="578">
        <v>1</v>
      </c>
      <c r="E156" s="578">
        <v>1</v>
      </c>
      <c r="F156" s="405">
        <v>8000</v>
      </c>
      <c r="G156" s="25">
        <f t="shared" ref="G156:G157" si="75">+D156*E156*F156</f>
        <v>8000</v>
      </c>
      <c r="H156" s="435">
        <f t="shared" ref="H156:H157" si="76">+G156/589.84</f>
        <v>13.56300013563</v>
      </c>
      <c r="I156" s="642">
        <f t="shared" ref="I156:I157" si="77">G156*0.03</f>
        <v>240</v>
      </c>
      <c r="J156" s="642">
        <f>350*D156</f>
        <v>350</v>
      </c>
      <c r="K156" s="642">
        <f t="shared" ref="K156:K157" si="78">G156/D156</f>
        <v>8000</v>
      </c>
      <c r="L156" s="501"/>
      <c r="M156" s="501"/>
      <c r="N156" s="501"/>
      <c r="O156" s="565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 s="499"/>
    </row>
    <row r="157" spans="1:67" s="430" customFormat="1" ht="16.5" thickBot="1" x14ac:dyDescent="0.3">
      <c r="A157" s="447">
        <v>3</v>
      </c>
      <c r="B157" s="577" t="s">
        <v>1394</v>
      </c>
      <c r="C157" s="577" t="s">
        <v>28</v>
      </c>
      <c r="D157" s="578">
        <v>1</v>
      </c>
      <c r="E157" s="578">
        <v>1</v>
      </c>
      <c r="F157" s="405">
        <v>8000</v>
      </c>
      <c r="G157" s="25">
        <f t="shared" si="75"/>
        <v>8000</v>
      </c>
      <c r="H157" s="435">
        <f t="shared" si="76"/>
        <v>13.56300013563</v>
      </c>
      <c r="I157" s="642">
        <f t="shared" si="77"/>
        <v>240</v>
      </c>
      <c r="J157" s="642">
        <f>350*D157</f>
        <v>350</v>
      </c>
      <c r="K157" s="642">
        <f t="shared" si="78"/>
        <v>8000</v>
      </c>
      <c r="L157" s="501"/>
      <c r="M157" s="501"/>
      <c r="N157" s="501"/>
      <c r="O157" s="565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 s="499"/>
    </row>
    <row r="158" spans="1:67" s="34" customFormat="1" ht="18.75" thickBot="1" x14ac:dyDescent="0.3">
      <c r="A158" s="341" t="s">
        <v>1399</v>
      </c>
      <c r="B158" s="342"/>
      <c r="C158" s="343"/>
      <c r="D158" s="343"/>
      <c r="E158" s="343"/>
      <c r="F158" s="344"/>
      <c r="G158" s="344">
        <f>SUM(G150:G154)</f>
        <v>450000</v>
      </c>
      <c r="H158" s="592">
        <f>SUM(H150:H154)</f>
        <v>762.91875762918755</v>
      </c>
      <c r="I158" s="692">
        <f>SUM(I156:I157)</f>
        <v>480</v>
      </c>
      <c r="J158" s="692">
        <f>SUM(J156:J157)</f>
        <v>700</v>
      </c>
      <c r="K158" s="555"/>
      <c r="L158" s="555"/>
      <c r="M158" s="555"/>
      <c r="N158" s="555"/>
      <c r="O158" s="555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</row>
    <row r="159" spans="1:67" s="34" customFormat="1" ht="24" thickBot="1" x14ac:dyDescent="0.4">
      <c r="A159" s="790" t="s">
        <v>91</v>
      </c>
      <c r="B159" s="791"/>
      <c r="C159" s="791"/>
      <c r="D159" s="791"/>
      <c r="E159" s="792"/>
      <c r="F159" s="351"/>
      <c r="G159" s="352">
        <f>SUM(G158+G153+G152+G148+G136+G118+G109+G99+G77+G55+G45+G38+G31+G24+G17)</f>
        <v>16578650</v>
      </c>
      <c r="H159" s="593">
        <f>SUM(H158+H153+H152+H148+H136+H118+H109+H99+H77+H55+H45+H38+H31+H24+H17)</f>
        <v>28107.029024820287</v>
      </c>
      <c r="I159" s="352">
        <f>I17+I24+I31+I38+I45+I55+I77+I99+I109+I118+I136+I148+I152+I153+I158</f>
        <v>424350</v>
      </c>
      <c r="J159" s="352">
        <f>J17+J24+J31+J38+J45+J55+J77+J99+J109+J118+J136+J148+J152+J153+J158</f>
        <v>337650</v>
      </c>
      <c r="K159" s="555"/>
      <c r="L159" s="555"/>
      <c r="M159" s="555"/>
      <c r="N159" s="555"/>
      <c r="O159" s="555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</row>
    <row r="160" spans="1:67" s="34" customFormat="1" x14ac:dyDescent="0.25">
      <c r="A160" s="238"/>
      <c r="B160" s="238"/>
      <c r="C160" s="238"/>
      <c r="D160" s="237"/>
      <c r="E160" s="237"/>
      <c r="F160" s="237"/>
      <c r="G160" s="237"/>
      <c r="H160" s="237"/>
      <c r="I160" s="564"/>
      <c r="J160" s="564"/>
      <c r="K160" s="564"/>
      <c r="L160" s="564"/>
      <c r="M160" s="564"/>
      <c r="N160" s="564"/>
      <c r="O160" s="564"/>
      <c r="P160"/>
      <c r="Q160"/>
      <c r="R160"/>
      <c r="S160"/>
      <c r="T160"/>
      <c r="U160"/>
      <c r="V160"/>
      <c r="W160"/>
      <c r="X160"/>
      <c r="Y160"/>
    </row>
    <row r="161" spans="1:25" s="34" customFormat="1" x14ac:dyDescent="0.25">
      <c r="A161" s="238" t="s">
        <v>1535</v>
      </c>
      <c r="B161" s="238"/>
      <c r="C161" s="237"/>
      <c r="D161" s="237"/>
      <c r="E161" s="237"/>
      <c r="F161" s="237"/>
      <c r="G161" s="237"/>
      <c r="H161" s="237"/>
      <c r="I161" s="564"/>
      <c r="J161" s="564"/>
      <c r="K161" s="564"/>
      <c r="L161" s="564"/>
      <c r="M161" s="564"/>
      <c r="N161" s="564"/>
      <c r="O161" s="564"/>
      <c r="P161"/>
      <c r="Q161"/>
      <c r="R161"/>
      <c r="S161"/>
      <c r="T161"/>
      <c r="U161"/>
      <c r="V161"/>
      <c r="W161"/>
      <c r="X161"/>
      <c r="Y161"/>
    </row>
    <row r="162" spans="1:25" s="34" customFormat="1" x14ac:dyDescent="0.25">
      <c r="A162" s="238" t="s">
        <v>1538</v>
      </c>
      <c r="B162" s="238"/>
      <c r="C162" s="237"/>
      <c r="D162" s="237"/>
      <c r="E162" s="237"/>
      <c r="F162" s="237"/>
      <c r="G162" s="237"/>
      <c r="H162" s="237"/>
      <c r="I162" s="564"/>
      <c r="J162" s="564"/>
      <c r="K162" s="564"/>
      <c r="L162" s="564"/>
      <c r="M162" s="564"/>
      <c r="N162" s="564"/>
      <c r="O162" s="564"/>
      <c r="P162"/>
      <c r="Q162"/>
      <c r="R162"/>
      <c r="S162"/>
      <c r="T162"/>
      <c r="U162"/>
      <c r="V162"/>
      <c r="W162"/>
      <c r="X162"/>
      <c r="Y162"/>
    </row>
    <row r="163" spans="1:25" s="34" customFormat="1" x14ac:dyDescent="0.25">
      <c r="A163" s="238"/>
      <c r="B163" s="238"/>
      <c r="C163" s="237"/>
      <c r="D163" s="237"/>
      <c r="E163" s="237"/>
      <c r="F163" s="237"/>
      <c r="G163" s="237"/>
      <c r="H163" s="237"/>
      <c r="I163" s="564"/>
      <c r="J163" s="564"/>
      <c r="K163" s="564"/>
      <c r="L163" s="564"/>
      <c r="M163" s="564"/>
      <c r="N163" s="564"/>
      <c r="O163" s="564"/>
      <c r="P163"/>
      <c r="Q163"/>
      <c r="R163"/>
      <c r="S163"/>
      <c r="T163"/>
      <c r="U163"/>
      <c r="V163"/>
      <c r="W163"/>
      <c r="X163"/>
      <c r="Y163"/>
    </row>
    <row r="164" spans="1:25" s="34" customFormat="1" x14ac:dyDescent="0.25">
      <c r="A164" s="238" t="s">
        <v>1331</v>
      </c>
      <c r="B164" s="238"/>
      <c r="C164" s="237"/>
      <c r="D164" s="237"/>
      <c r="E164" s="237"/>
      <c r="F164" s="237"/>
      <c r="G164" s="237"/>
      <c r="H164" s="237"/>
      <c r="I164" s="564" t="s">
        <v>1536</v>
      </c>
      <c r="J164" s="564"/>
      <c r="K164" s="564"/>
      <c r="L164" s="564"/>
      <c r="M164" s="564" t="s">
        <v>1530</v>
      </c>
      <c r="N164" s="564"/>
      <c r="O164" s="542"/>
      <c r="P164"/>
      <c r="Q164"/>
      <c r="R164"/>
      <c r="S164"/>
      <c r="T164"/>
      <c r="U164"/>
      <c r="V164"/>
      <c r="W164"/>
      <c r="X164"/>
      <c r="Y164"/>
    </row>
    <row r="165" spans="1:25" s="34" customFormat="1" x14ac:dyDescent="0.25">
      <c r="A165" s="237"/>
      <c r="B165" s="239"/>
      <c r="C165" s="237"/>
      <c r="D165" s="237"/>
      <c r="E165" s="237"/>
      <c r="F165" s="237"/>
      <c r="G165" s="237"/>
      <c r="H165" s="237"/>
      <c r="I165" s="564"/>
      <c r="J165" s="564"/>
      <c r="K165" s="564"/>
      <c r="L165" s="564"/>
      <c r="M165" s="564"/>
      <c r="N165" s="564"/>
      <c r="O165" s="542"/>
      <c r="P165"/>
      <c r="Q165"/>
      <c r="R165"/>
      <c r="S165"/>
      <c r="T165"/>
      <c r="U165"/>
      <c r="V165"/>
      <c r="W165"/>
      <c r="X165"/>
      <c r="Y165"/>
    </row>
    <row r="166" spans="1:25" s="34" customFormat="1" x14ac:dyDescent="0.25">
      <c r="A166" s="240" t="s">
        <v>1537</v>
      </c>
      <c r="B166" s="241"/>
      <c r="C166" s="240"/>
      <c r="D166" s="240"/>
      <c r="E166" s="240"/>
      <c r="F166" s="240"/>
      <c r="G166" s="240"/>
      <c r="H166" s="237"/>
      <c r="I166" s="564"/>
      <c r="J166" s="564"/>
      <c r="K166" s="564"/>
      <c r="L166" s="564"/>
      <c r="M166" s="564"/>
      <c r="N166" s="564"/>
      <c r="O166" s="564"/>
      <c r="P166"/>
      <c r="Q166"/>
      <c r="R166"/>
      <c r="S166"/>
      <c r="T166"/>
      <c r="U166"/>
      <c r="V166"/>
      <c r="W166"/>
      <c r="X166"/>
      <c r="Y166"/>
    </row>
  </sheetData>
  <mergeCells count="7">
    <mergeCell ref="A159:E159"/>
    <mergeCell ref="A56:E56"/>
    <mergeCell ref="A7:F7"/>
    <mergeCell ref="O7:O8"/>
    <mergeCell ref="A77:E77"/>
    <mergeCell ref="A136:E136"/>
    <mergeCell ref="A119:E1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2AF22A"/>
  </sheetPr>
  <dimension ref="A1:AV346"/>
  <sheetViews>
    <sheetView topLeftCell="A145" zoomScale="85" zoomScaleNormal="85" workbookViewId="0">
      <selection activeCell="D163" sqref="D163"/>
    </sheetView>
  </sheetViews>
  <sheetFormatPr baseColWidth="10" defaultColWidth="10.625" defaultRowHeight="15.75" x14ac:dyDescent="0.25"/>
  <cols>
    <col min="1" max="1" width="12.625" style="48" customWidth="1"/>
    <col min="2" max="2" width="59.375" style="48" customWidth="1"/>
    <col min="3" max="3" width="20.125" style="48" customWidth="1"/>
    <col min="4" max="4" width="19.875" style="48" customWidth="1"/>
    <col min="5" max="5" width="13" style="48" customWidth="1"/>
    <col min="6" max="6" width="17" style="48" customWidth="1"/>
    <col min="7" max="7" width="25.5" style="48" customWidth="1"/>
    <col min="8" max="8" width="16.5" customWidth="1"/>
    <col min="9" max="10" width="20.875" customWidth="1"/>
    <col min="11" max="11" width="18.375" customWidth="1"/>
    <col min="12" max="255" width="8.875" customWidth="1"/>
  </cols>
  <sheetData>
    <row r="1" spans="1:15" x14ac:dyDescent="0.25">
      <c r="A1" s="207" t="s">
        <v>1344</v>
      </c>
      <c r="B1" s="207"/>
      <c r="C1" s="207"/>
      <c r="D1" s="207"/>
      <c r="E1" s="207"/>
      <c r="F1" s="207"/>
      <c r="G1" s="207"/>
      <c r="H1" s="207"/>
      <c r="I1" s="208"/>
      <c r="J1" s="208"/>
      <c r="K1" s="208"/>
      <c r="L1" s="208"/>
      <c r="M1" s="208"/>
      <c r="N1" s="208"/>
      <c r="O1" s="208"/>
    </row>
    <row r="2" spans="1:15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208"/>
      <c r="J2" s="208"/>
      <c r="K2" s="208"/>
      <c r="L2" s="208"/>
      <c r="M2" s="208"/>
      <c r="N2" s="208"/>
      <c r="O2" s="208"/>
    </row>
    <row r="3" spans="1:15" x14ac:dyDescent="0.25">
      <c r="A3" s="207" t="s">
        <v>1520</v>
      </c>
      <c r="B3" s="207"/>
      <c r="C3" s="207"/>
      <c r="D3" s="207"/>
      <c r="E3" s="207"/>
      <c r="F3" s="207"/>
      <c r="G3" s="207"/>
      <c r="H3" s="207"/>
      <c r="I3" s="208"/>
      <c r="J3" s="208"/>
      <c r="K3" s="208"/>
      <c r="L3" s="208"/>
      <c r="M3" s="208"/>
      <c r="N3" s="208"/>
      <c r="O3" s="208"/>
    </row>
    <row r="4" spans="1:15" x14ac:dyDescent="0.25">
      <c r="A4" s="207" t="s">
        <v>1</v>
      </c>
      <c r="B4" s="207"/>
      <c r="C4" s="207"/>
      <c r="D4" s="207"/>
      <c r="E4" s="207"/>
      <c r="F4" s="207"/>
      <c r="G4" s="207"/>
      <c r="H4" s="207"/>
      <c r="I4" s="208"/>
      <c r="J4" s="208"/>
      <c r="K4" s="208"/>
      <c r="L4" s="208"/>
      <c r="M4" s="208"/>
      <c r="N4" s="208"/>
      <c r="O4" s="208"/>
    </row>
    <row r="5" spans="1:15" ht="18.75" x14ac:dyDescent="0.25">
      <c r="A5" s="207" t="s">
        <v>485</v>
      </c>
      <c r="B5" s="207"/>
      <c r="C5" s="264">
        <f>G329</f>
        <v>61676000</v>
      </c>
      <c r="D5" s="264">
        <f>H329</f>
        <v>104563.94954563949</v>
      </c>
      <c r="E5" s="207"/>
      <c r="F5" s="207"/>
      <c r="G5" s="207"/>
      <c r="H5" s="207"/>
      <c r="I5" s="208"/>
      <c r="J5" s="208"/>
      <c r="K5" s="208"/>
      <c r="L5" s="208"/>
      <c r="M5" s="208"/>
      <c r="N5" s="208"/>
      <c r="O5" s="208"/>
    </row>
    <row r="6" spans="1:15" ht="16.5" thickBot="1" x14ac:dyDescent="0.3">
      <c r="A6" s="207" t="s">
        <v>1539</v>
      </c>
      <c r="B6" s="207"/>
      <c r="C6" s="207"/>
      <c r="D6" s="207"/>
      <c r="E6" s="207"/>
      <c r="F6" s="207"/>
      <c r="G6" s="207"/>
      <c r="H6" s="207"/>
      <c r="I6" s="208"/>
      <c r="J6" s="208"/>
      <c r="K6" s="208"/>
      <c r="L6" s="208"/>
      <c r="M6" s="208"/>
      <c r="N6" s="208"/>
      <c r="O6" s="208"/>
    </row>
    <row r="7" spans="1:15" ht="17.25" customHeight="1" thickBot="1" x14ac:dyDescent="0.3">
      <c r="A7" s="773" t="s">
        <v>3</v>
      </c>
      <c r="B7" s="774"/>
      <c r="C7" s="774"/>
      <c r="D7" s="774"/>
      <c r="E7" s="774"/>
      <c r="F7" s="774"/>
      <c r="G7" s="570"/>
      <c r="H7" s="571"/>
      <c r="I7" s="535" t="s">
        <v>4</v>
      </c>
      <c r="J7" s="534"/>
      <c r="K7" s="535"/>
      <c r="L7" s="535"/>
      <c r="M7" s="535"/>
      <c r="N7" s="536"/>
      <c r="O7" s="775" t="s">
        <v>5</v>
      </c>
    </row>
    <row r="8" spans="1:15" ht="26.25" thickBot="1" x14ac:dyDescent="0.3">
      <c r="A8" s="211" t="s">
        <v>1540</v>
      </c>
      <c r="B8" s="212" t="s">
        <v>1533</v>
      </c>
      <c r="C8" s="212" t="s">
        <v>8</v>
      </c>
      <c r="D8" s="213" t="s">
        <v>9</v>
      </c>
      <c r="E8" s="212" t="s">
        <v>10</v>
      </c>
      <c r="F8" s="213" t="s">
        <v>11</v>
      </c>
      <c r="G8" s="214" t="s">
        <v>12</v>
      </c>
      <c r="H8" s="579" t="s">
        <v>1532</v>
      </c>
      <c r="I8" s="580" t="s">
        <v>1533</v>
      </c>
      <c r="J8" s="543" t="s">
        <v>7</v>
      </c>
      <c r="K8" s="540" t="s">
        <v>13</v>
      </c>
      <c r="L8" s="540" t="s">
        <v>14</v>
      </c>
      <c r="M8" s="540" t="s">
        <v>15</v>
      </c>
      <c r="N8" s="541" t="s">
        <v>16</v>
      </c>
      <c r="O8" s="776"/>
    </row>
    <row r="9" spans="1:15" ht="61.5" thickBot="1" x14ac:dyDescent="0.3">
      <c r="A9" s="14" t="s">
        <v>6</v>
      </c>
      <c r="B9" s="206" t="s">
        <v>428</v>
      </c>
      <c r="C9" s="584"/>
      <c r="D9" s="585"/>
      <c r="E9" s="584"/>
      <c r="F9" s="585"/>
      <c r="G9" s="538"/>
      <c r="H9" s="538"/>
      <c r="I9" s="695" t="s">
        <v>1613</v>
      </c>
      <c r="J9" s="696" t="s">
        <v>1624</v>
      </c>
      <c r="K9" s="543"/>
      <c r="L9" s="540"/>
      <c r="M9" s="541"/>
      <c r="N9" s="583"/>
      <c r="O9" s="522"/>
    </row>
    <row r="10" spans="1:15" ht="16.5" thickBot="1" x14ac:dyDescent="0.3">
      <c r="A10" s="201"/>
      <c r="B10" s="202"/>
      <c r="C10" s="202"/>
      <c r="D10" s="203"/>
      <c r="E10" s="202"/>
      <c r="F10" s="203"/>
      <c r="G10" s="204"/>
      <c r="H10" s="204"/>
      <c r="I10" s="543"/>
      <c r="J10" s="543"/>
      <c r="K10" s="543"/>
      <c r="L10" s="540"/>
      <c r="M10" s="541"/>
      <c r="N10" s="583"/>
      <c r="O10" s="522"/>
    </row>
    <row r="11" spans="1:15" ht="16.5" thickBot="1" x14ac:dyDescent="0.3">
      <c r="A11" s="22">
        <v>1</v>
      </c>
      <c r="B11" s="26" t="s">
        <v>963</v>
      </c>
      <c r="C11" s="23" t="s">
        <v>28</v>
      </c>
      <c r="D11" s="24">
        <v>4</v>
      </c>
      <c r="E11" s="23">
        <v>10</v>
      </c>
      <c r="F11" s="25">
        <v>7500</v>
      </c>
      <c r="G11" s="346">
        <f t="shared" ref="G11:G16" si="0">D11*E11*F11</f>
        <v>300000</v>
      </c>
      <c r="H11" s="347">
        <f>G11/589.84</f>
        <v>508.612505086125</v>
      </c>
      <c r="I11" s="642">
        <f>G11*0.03</f>
        <v>9000</v>
      </c>
      <c r="J11" s="642">
        <f>1600*D11</f>
        <v>6400</v>
      </c>
      <c r="K11" s="642">
        <f>G11/D11</f>
        <v>75000</v>
      </c>
      <c r="L11" s="522"/>
      <c r="M11" s="522"/>
      <c r="N11" s="572"/>
      <c r="O11" s="522"/>
    </row>
    <row r="12" spans="1:15" x14ac:dyDescent="0.25">
      <c r="A12" s="22">
        <v>2</v>
      </c>
      <c r="B12" s="26" t="s">
        <v>964</v>
      </c>
      <c r="C12" s="23" t="s">
        <v>28</v>
      </c>
      <c r="D12" s="24">
        <v>2</v>
      </c>
      <c r="E12" s="23">
        <v>10</v>
      </c>
      <c r="F12" s="25">
        <v>3000</v>
      </c>
      <c r="G12" s="25">
        <f t="shared" si="0"/>
        <v>60000</v>
      </c>
      <c r="H12" s="268">
        <f t="shared" ref="H12:H16" si="1">G12/589.84</f>
        <v>101.722501017225</v>
      </c>
      <c r="I12" s="642">
        <f t="shared" ref="I12:I16" si="2">G12*0.03</f>
        <v>1800</v>
      </c>
      <c r="J12" s="642">
        <f>1050*D12</f>
        <v>2100</v>
      </c>
      <c r="K12" s="642">
        <f t="shared" ref="K12:K16" si="3">G12/D12</f>
        <v>30000</v>
      </c>
      <c r="L12" s="522"/>
      <c r="M12" s="522"/>
      <c r="N12" s="572"/>
      <c r="O12" s="522"/>
    </row>
    <row r="13" spans="1:15" x14ac:dyDescent="0.25">
      <c r="A13" s="22">
        <v>3</v>
      </c>
      <c r="B13" s="26" t="s">
        <v>965</v>
      </c>
      <c r="C13" s="23" t="s">
        <v>28</v>
      </c>
      <c r="D13" s="24">
        <v>1</v>
      </c>
      <c r="E13" s="23">
        <v>10</v>
      </c>
      <c r="F13" s="25">
        <v>7500</v>
      </c>
      <c r="G13" s="25">
        <f t="shared" si="0"/>
        <v>75000</v>
      </c>
      <c r="H13" s="268">
        <f t="shared" si="1"/>
        <v>127.15312627153125</v>
      </c>
      <c r="I13" s="642">
        <f t="shared" si="2"/>
        <v>2250</v>
      </c>
      <c r="J13" s="642">
        <f>1600*D13</f>
        <v>1600</v>
      </c>
      <c r="K13" s="642">
        <f t="shared" si="3"/>
        <v>75000</v>
      </c>
      <c r="L13" s="522"/>
      <c r="M13" s="522"/>
      <c r="N13" s="572"/>
      <c r="O13" s="522"/>
    </row>
    <row r="14" spans="1:15" x14ac:dyDescent="0.25">
      <c r="A14" s="22">
        <v>4</v>
      </c>
      <c r="B14" s="26" t="s">
        <v>1365</v>
      </c>
      <c r="C14" s="23" t="s">
        <v>28</v>
      </c>
      <c r="D14" s="24">
        <v>12</v>
      </c>
      <c r="E14" s="23">
        <v>7</v>
      </c>
      <c r="F14" s="25">
        <v>3000</v>
      </c>
      <c r="G14" s="25">
        <f t="shared" si="0"/>
        <v>252000</v>
      </c>
      <c r="H14" s="268">
        <f t="shared" ref="H14" si="4">G14/589.84</f>
        <v>427.23450427234502</v>
      </c>
      <c r="I14" s="642">
        <f t="shared" si="2"/>
        <v>7560</v>
      </c>
      <c r="J14" s="642">
        <f>550*D14</f>
        <v>6600</v>
      </c>
      <c r="K14" s="642">
        <f t="shared" si="3"/>
        <v>21000</v>
      </c>
      <c r="L14" s="522"/>
      <c r="M14" s="522"/>
      <c r="N14" s="572"/>
      <c r="O14" s="522"/>
    </row>
    <row r="15" spans="1:15" x14ac:dyDescent="0.25">
      <c r="A15" s="22">
        <v>5</v>
      </c>
      <c r="B15" s="26" t="s">
        <v>1345</v>
      </c>
      <c r="C15" s="23" t="s">
        <v>28</v>
      </c>
      <c r="D15" s="24">
        <v>1</v>
      </c>
      <c r="E15" s="23">
        <v>10</v>
      </c>
      <c r="F15" s="25">
        <v>8000</v>
      </c>
      <c r="G15" s="25">
        <f t="shared" si="0"/>
        <v>80000</v>
      </c>
      <c r="H15" s="268">
        <f t="shared" ref="H15" si="5">G15/589.84</f>
        <v>135.6300013563</v>
      </c>
      <c r="I15" s="642">
        <f t="shared" si="2"/>
        <v>2400</v>
      </c>
      <c r="J15" s="642">
        <f>1600*D15</f>
        <v>1600</v>
      </c>
      <c r="K15" s="642">
        <f t="shared" si="3"/>
        <v>80000</v>
      </c>
      <c r="L15" s="522"/>
      <c r="M15" s="522"/>
      <c r="N15" s="572"/>
      <c r="O15" s="522"/>
    </row>
    <row r="16" spans="1:15" ht="16.5" thickBot="1" x14ac:dyDescent="0.3">
      <c r="A16" s="22">
        <v>6</v>
      </c>
      <c r="B16" s="26" t="s">
        <v>966</v>
      </c>
      <c r="C16" s="23" t="s">
        <v>28</v>
      </c>
      <c r="D16" s="24">
        <v>1</v>
      </c>
      <c r="E16" s="23">
        <v>10</v>
      </c>
      <c r="F16" s="25">
        <v>8000</v>
      </c>
      <c r="G16" s="25">
        <f t="shared" si="0"/>
        <v>80000</v>
      </c>
      <c r="H16" s="268">
        <f t="shared" si="1"/>
        <v>135.6300013563</v>
      </c>
      <c r="I16" s="642">
        <f t="shared" si="2"/>
        <v>2400</v>
      </c>
      <c r="J16" s="642">
        <f>1600*D16</f>
        <v>1600</v>
      </c>
      <c r="K16" s="642">
        <f t="shared" si="3"/>
        <v>80000</v>
      </c>
      <c r="L16" s="522"/>
      <c r="M16" s="522"/>
      <c r="N16" s="572"/>
      <c r="O16" s="522"/>
    </row>
    <row r="17" spans="1:15" ht="18.75" thickBot="1" x14ac:dyDescent="0.3">
      <c r="A17" s="341"/>
      <c r="B17" s="257" t="s">
        <v>1399</v>
      </c>
      <c r="C17" s="343"/>
      <c r="D17" s="343"/>
      <c r="E17" s="343"/>
      <c r="F17" s="344"/>
      <c r="G17" s="344">
        <f>SUM(G11:G16)</f>
        <v>847000</v>
      </c>
      <c r="H17" s="345">
        <f>SUM(H11:H16)</f>
        <v>1435.9826393598264</v>
      </c>
      <c r="I17" s="263">
        <f>SUM(I11:I16)</f>
        <v>25410</v>
      </c>
      <c r="J17" s="263">
        <f>SUM(J11:J16)</f>
        <v>19900</v>
      </c>
      <c r="K17" s="12"/>
      <c r="L17" s="522"/>
      <c r="M17" s="522"/>
      <c r="N17" s="572"/>
      <c r="O17" s="522"/>
    </row>
    <row r="18" spans="1:15" ht="16.5" thickBot="1" x14ac:dyDescent="0.3">
      <c r="A18" s="22">
        <v>1</v>
      </c>
      <c r="B18" s="26" t="s">
        <v>967</v>
      </c>
      <c r="C18" s="23" t="s">
        <v>28</v>
      </c>
      <c r="D18" s="24">
        <v>4</v>
      </c>
      <c r="E18" s="23">
        <v>10</v>
      </c>
      <c r="F18" s="25">
        <v>7500</v>
      </c>
      <c r="G18" s="25">
        <f t="shared" ref="G18:G23" si="6">D18*E18*F18</f>
        <v>300000</v>
      </c>
      <c r="H18" s="347">
        <f>G18/589.84</f>
        <v>508.612505086125</v>
      </c>
      <c r="I18" s="642">
        <f>G18*0.03</f>
        <v>9000</v>
      </c>
      <c r="J18" s="642">
        <f>1600*D18</f>
        <v>6400</v>
      </c>
      <c r="K18" s="642">
        <f>G18/D18</f>
        <v>75000</v>
      </c>
      <c r="L18" s="522"/>
      <c r="M18" s="522"/>
      <c r="N18" s="572"/>
      <c r="O18" s="522"/>
    </row>
    <row r="19" spans="1:15" x14ac:dyDescent="0.25">
      <c r="A19" s="22">
        <v>2</v>
      </c>
      <c r="B19" s="26" t="s">
        <v>968</v>
      </c>
      <c r="C19" s="23" t="s">
        <v>28</v>
      </c>
      <c r="D19" s="24">
        <v>2</v>
      </c>
      <c r="E19" s="23">
        <v>10</v>
      </c>
      <c r="F19" s="25">
        <v>3000</v>
      </c>
      <c r="G19" s="25">
        <f t="shared" si="6"/>
        <v>60000</v>
      </c>
      <c r="H19" s="268">
        <f t="shared" ref="H19:H23" si="7">G19/589.84</f>
        <v>101.722501017225</v>
      </c>
      <c r="I19" s="642">
        <f t="shared" ref="I19:I23" si="8">G19*0.03</f>
        <v>1800</v>
      </c>
      <c r="J19" s="642">
        <f>1050*D19</f>
        <v>2100</v>
      </c>
      <c r="K19" s="642">
        <f t="shared" ref="K19:K23" si="9">G19/D19</f>
        <v>30000</v>
      </c>
      <c r="L19" s="522"/>
      <c r="M19" s="522"/>
      <c r="N19" s="572"/>
      <c r="O19" s="522"/>
    </row>
    <row r="20" spans="1:15" x14ac:dyDescent="0.25">
      <c r="A20" s="22">
        <v>3</v>
      </c>
      <c r="B20" s="26" t="s">
        <v>969</v>
      </c>
      <c r="C20" s="23" t="s">
        <v>28</v>
      </c>
      <c r="D20" s="24">
        <v>1</v>
      </c>
      <c r="E20" s="23">
        <v>10</v>
      </c>
      <c r="F20" s="25">
        <v>7500</v>
      </c>
      <c r="G20" s="25">
        <f t="shared" si="6"/>
        <v>75000</v>
      </c>
      <c r="H20" s="268">
        <f t="shared" si="7"/>
        <v>127.15312627153125</v>
      </c>
      <c r="I20" s="642">
        <f t="shared" si="8"/>
        <v>2250</v>
      </c>
      <c r="J20" s="642">
        <f>1600*D20</f>
        <v>1600</v>
      </c>
      <c r="K20" s="642">
        <f t="shared" si="9"/>
        <v>75000</v>
      </c>
      <c r="L20" s="522"/>
      <c r="M20" s="522"/>
      <c r="N20" s="572"/>
      <c r="O20" s="522"/>
    </row>
    <row r="21" spans="1:15" x14ac:dyDescent="0.25">
      <c r="A21" s="22">
        <v>4</v>
      </c>
      <c r="B21" s="26" t="s">
        <v>1365</v>
      </c>
      <c r="C21" s="23" t="s">
        <v>28</v>
      </c>
      <c r="D21" s="24">
        <v>11</v>
      </c>
      <c r="E21" s="23">
        <v>7</v>
      </c>
      <c r="F21" s="25">
        <v>3000</v>
      </c>
      <c r="G21" s="25">
        <f t="shared" si="6"/>
        <v>231000</v>
      </c>
      <c r="H21" s="268">
        <f t="shared" ref="H21" si="10">G21/589.84</f>
        <v>391.63162891631629</v>
      </c>
      <c r="I21" s="642">
        <f t="shared" si="8"/>
        <v>6930</v>
      </c>
      <c r="J21" s="642">
        <f>550*D21</f>
        <v>6050</v>
      </c>
      <c r="K21" s="642">
        <f t="shared" si="9"/>
        <v>21000</v>
      </c>
      <c r="L21" s="522"/>
      <c r="M21" s="522"/>
      <c r="N21" s="572"/>
      <c r="O21" s="522"/>
    </row>
    <row r="22" spans="1:15" x14ac:dyDescent="0.25">
      <c r="A22" s="22">
        <v>5</v>
      </c>
      <c r="B22" s="26" t="s">
        <v>1345</v>
      </c>
      <c r="C22" s="23" t="s">
        <v>28</v>
      </c>
      <c r="D22" s="24">
        <v>1</v>
      </c>
      <c r="E22" s="23">
        <v>10</v>
      </c>
      <c r="F22" s="25">
        <v>8000</v>
      </c>
      <c r="G22" s="25">
        <f t="shared" si="6"/>
        <v>80000</v>
      </c>
      <c r="H22" s="268">
        <f t="shared" ref="H22" si="11">G22/589.84</f>
        <v>135.6300013563</v>
      </c>
      <c r="I22" s="642">
        <f t="shared" si="8"/>
        <v>2400</v>
      </c>
      <c r="J22" s="642">
        <f>1600*D22</f>
        <v>1600</v>
      </c>
      <c r="K22" s="642">
        <f t="shared" si="9"/>
        <v>80000</v>
      </c>
      <c r="L22" s="522"/>
      <c r="M22" s="522"/>
      <c r="N22" s="572"/>
      <c r="O22" s="522"/>
    </row>
    <row r="23" spans="1:15" ht="16.5" thickBot="1" x14ac:dyDescent="0.3">
      <c r="A23" s="22">
        <v>6</v>
      </c>
      <c r="B23" s="26" t="s">
        <v>970</v>
      </c>
      <c r="C23" s="23" t="s">
        <v>28</v>
      </c>
      <c r="D23" s="24">
        <v>1</v>
      </c>
      <c r="E23" s="23">
        <v>10</v>
      </c>
      <c r="F23" s="25">
        <v>8000</v>
      </c>
      <c r="G23" s="25">
        <f t="shared" si="6"/>
        <v>80000</v>
      </c>
      <c r="H23" s="268">
        <f t="shared" si="7"/>
        <v>135.6300013563</v>
      </c>
      <c r="I23" s="642">
        <f t="shared" si="8"/>
        <v>2400</v>
      </c>
      <c r="J23" s="642">
        <f>1600*D23</f>
        <v>1600</v>
      </c>
      <c r="K23" s="642">
        <f t="shared" si="9"/>
        <v>80000</v>
      </c>
      <c r="L23" s="522"/>
      <c r="M23" s="522"/>
      <c r="N23" s="572"/>
      <c r="O23" s="522"/>
    </row>
    <row r="24" spans="1:15" ht="18.75" thickBot="1" x14ac:dyDescent="0.3">
      <c r="A24" s="341"/>
      <c r="B24" s="257" t="s">
        <v>1399</v>
      </c>
      <c r="C24" s="343"/>
      <c r="D24" s="343"/>
      <c r="E24" s="343"/>
      <c r="F24" s="344"/>
      <c r="G24" s="344">
        <f>SUM(G18:G23)</f>
        <v>826000</v>
      </c>
      <c r="H24" s="345">
        <f>SUM(H18:H23)</f>
        <v>1400.3797640037976</v>
      </c>
      <c r="I24" s="263">
        <f>SUM(I18:I23)</f>
        <v>24780</v>
      </c>
      <c r="J24" s="263">
        <f>SUM(J18:J23)</f>
        <v>19350</v>
      </c>
      <c r="K24" s="12"/>
      <c r="L24" s="522"/>
      <c r="M24" s="522"/>
      <c r="N24" s="572"/>
      <c r="O24" s="522"/>
    </row>
    <row r="25" spans="1:15" ht="16.5" thickBot="1" x14ac:dyDescent="0.3">
      <c r="A25" s="22">
        <v>1</v>
      </c>
      <c r="B25" s="26" t="s">
        <v>971</v>
      </c>
      <c r="C25" s="23" t="s">
        <v>28</v>
      </c>
      <c r="D25" s="24">
        <v>8</v>
      </c>
      <c r="E25" s="23">
        <v>10</v>
      </c>
      <c r="F25" s="25">
        <v>7500</v>
      </c>
      <c r="G25" s="25">
        <f t="shared" ref="G25:G30" si="12">D25*E25*F25</f>
        <v>600000</v>
      </c>
      <c r="H25" s="347">
        <f>G25/589.84</f>
        <v>1017.22501017225</v>
      </c>
      <c r="I25" s="642">
        <f>G25*0.03</f>
        <v>18000</v>
      </c>
      <c r="J25" s="642">
        <f>1600*D25</f>
        <v>12800</v>
      </c>
      <c r="K25" s="642">
        <f>G25/D25</f>
        <v>75000</v>
      </c>
      <c r="L25" s="522"/>
      <c r="M25" s="522"/>
      <c r="N25" s="572"/>
      <c r="O25" s="522"/>
    </row>
    <row r="26" spans="1:15" x14ac:dyDescent="0.25">
      <c r="A26" s="22">
        <v>2</v>
      </c>
      <c r="B26" s="26" t="s">
        <v>972</v>
      </c>
      <c r="C26" s="23" t="s">
        <v>28</v>
      </c>
      <c r="D26" s="24">
        <v>4</v>
      </c>
      <c r="E26" s="23">
        <v>10</v>
      </c>
      <c r="F26" s="25">
        <v>3000</v>
      </c>
      <c r="G26" s="25">
        <f t="shared" si="12"/>
        <v>120000</v>
      </c>
      <c r="H26" s="268">
        <f t="shared" ref="H26:H30" si="13">G26/589.84</f>
        <v>203.44500203445</v>
      </c>
      <c r="I26" s="642">
        <f t="shared" ref="I26:I30" si="14">G26*0.03</f>
        <v>3600</v>
      </c>
      <c r="J26" s="642">
        <f>1050*D26</f>
        <v>4200</v>
      </c>
      <c r="K26" s="642">
        <f t="shared" ref="K26:K30" si="15">G26/D26</f>
        <v>30000</v>
      </c>
      <c r="L26" s="522"/>
      <c r="M26" s="522"/>
      <c r="N26" s="572"/>
      <c r="O26" s="522"/>
    </row>
    <row r="27" spans="1:15" x14ac:dyDescent="0.25">
      <c r="A27" s="22">
        <v>3</v>
      </c>
      <c r="B27" s="26" t="s">
        <v>973</v>
      </c>
      <c r="C27" s="23" t="s">
        <v>28</v>
      </c>
      <c r="D27" s="24">
        <v>1</v>
      </c>
      <c r="E27" s="23">
        <v>10</v>
      </c>
      <c r="F27" s="25">
        <v>7500</v>
      </c>
      <c r="G27" s="25">
        <f t="shared" si="12"/>
        <v>75000</v>
      </c>
      <c r="H27" s="268">
        <f t="shared" si="13"/>
        <v>127.15312627153125</v>
      </c>
      <c r="I27" s="642">
        <f t="shared" si="14"/>
        <v>2250</v>
      </c>
      <c r="J27" s="642">
        <f>1600*D27</f>
        <v>1600</v>
      </c>
      <c r="K27" s="642">
        <f t="shared" si="15"/>
        <v>75000</v>
      </c>
      <c r="L27" s="522"/>
      <c r="M27" s="522"/>
      <c r="N27" s="572"/>
      <c r="O27" s="522"/>
    </row>
    <row r="28" spans="1:15" x14ac:dyDescent="0.25">
      <c r="A28" s="22">
        <v>4</v>
      </c>
      <c r="B28" s="26" t="s">
        <v>1365</v>
      </c>
      <c r="C28" s="23" t="s">
        <v>28</v>
      </c>
      <c r="D28" s="24">
        <v>17</v>
      </c>
      <c r="E28" s="23">
        <v>7</v>
      </c>
      <c r="F28" s="25">
        <v>3000</v>
      </c>
      <c r="G28" s="25">
        <f t="shared" si="12"/>
        <v>357000</v>
      </c>
      <c r="H28" s="268">
        <f t="shared" si="13"/>
        <v>605.24888105248874</v>
      </c>
      <c r="I28" s="642">
        <f t="shared" si="14"/>
        <v>10710</v>
      </c>
      <c r="J28" s="642">
        <f>550*D28</f>
        <v>9350</v>
      </c>
      <c r="K28" s="642">
        <f t="shared" si="15"/>
        <v>21000</v>
      </c>
      <c r="L28" s="522"/>
      <c r="M28" s="522"/>
      <c r="N28" s="572"/>
      <c r="O28" s="522"/>
    </row>
    <row r="29" spans="1:15" x14ac:dyDescent="0.25">
      <c r="A29" s="22">
        <v>5</v>
      </c>
      <c r="B29" s="26" t="s">
        <v>1345</v>
      </c>
      <c r="C29" s="23" t="s">
        <v>28</v>
      </c>
      <c r="D29" s="24">
        <v>1</v>
      </c>
      <c r="E29" s="23">
        <v>10</v>
      </c>
      <c r="F29" s="25">
        <v>8000</v>
      </c>
      <c r="G29" s="25">
        <f t="shared" si="12"/>
        <v>80000</v>
      </c>
      <c r="H29" s="268">
        <f t="shared" ref="H29" si="16">G29/589.84</f>
        <v>135.6300013563</v>
      </c>
      <c r="I29" s="642">
        <f t="shared" si="14"/>
        <v>2400</v>
      </c>
      <c r="J29" s="642">
        <f>1600*D29</f>
        <v>1600</v>
      </c>
      <c r="K29" s="642">
        <f t="shared" si="15"/>
        <v>80000</v>
      </c>
      <c r="L29" s="522"/>
      <c r="M29" s="522"/>
      <c r="N29" s="572"/>
      <c r="O29" s="522"/>
    </row>
    <row r="30" spans="1:15" ht="16.5" thickBot="1" x14ac:dyDescent="0.3">
      <c r="A30" s="22">
        <v>6</v>
      </c>
      <c r="B30" s="26" t="s">
        <v>974</v>
      </c>
      <c r="C30" s="23" t="s">
        <v>28</v>
      </c>
      <c r="D30" s="24">
        <v>1</v>
      </c>
      <c r="E30" s="23">
        <v>10</v>
      </c>
      <c r="F30" s="25">
        <v>8000</v>
      </c>
      <c r="G30" s="25">
        <f t="shared" si="12"/>
        <v>80000</v>
      </c>
      <c r="H30" s="268">
        <f t="shared" si="13"/>
        <v>135.6300013563</v>
      </c>
      <c r="I30" s="642">
        <f t="shared" si="14"/>
        <v>2400</v>
      </c>
      <c r="J30" s="642">
        <f>1600*D30</f>
        <v>1600</v>
      </c>
      <c r="K30" s="642">
        <f t="shared" si="15"/>
        <v>80000</v>
      </c>
      <c r="L30" s="522"/>
      <c r="M30" s="522"/>
      <c r="N30" s="572"/>
      <c r="O30" s="522"/>
    </row>
    <row r="31" spans="1:15" ht="18.75" thickBot="1" x14ac:dyDescent="0.3">
      <c r="A31" s="341"/>
      <c r="B31" s="257" t="s">
        <v>1399</v>
      </c>
      <c r="C31" s="343"/>
      <c r="D31" s="343"/>
      <c r="E31" s="343"/>
      <c r="F31" s="344"/>
      <c r="G31" s="344">
        <f>SUM(G25:G30)</f>
        <v>1312000</v>
      </c>
      <c r="H31" s="345">
        <f>SUM(H25:H30)</f>
        <v>2224.3320222433199</v>
      </c>
      <c r="I31" s="263">
        <f>SUM(I25:I30)</f>
        <v>39360</v>
      </c>
      <c r="J31" s="263">
        <f>SUM(J25:J30)</f>
        <v>31150</v>
      </c>
      <c r="K31" s="12"/>
      <c r="L31" s="522"/>
      <c r="M31" s="522"/>
      <c r="N31" s="572"/>
      <c r="O31" s="522"/>
    </row>
    <row r="32" spans="1:15" ht="16.5" thickBot="1" x14ac:dyDescent="0.3">
      <c r="A32" s="22">
        <v>1</v>
      </c>
      <c r="B32" s="26" t="s">
        <v>975</v>
      </c>
      <c r="C32" s="23" t="s">
        <v>28</v>
      </c>
      <c r="D32" s="24">
        <v>6</v>
      </c>
      <c r="E32" s="23">
        <v>10</v>
      </c>
      <c r="F32" s="25">
        <v>7500</v>
      </c>
      <c r="G32" s="25">
        <f t="shared" ref="G32:G37" si="17">D32*E32*F32</f>
        <v>450000</v>
      </c>
      <c r="H32" s="347">
        <f>G32/589.84</f>
        <v>762.91875762918755</v>
      </c>
      <c r="I32" s="642">
        <f>G32*0.03</f>
        <v>13500</v>
      </c>
      <c r="J32" s="642">
        <f>1600*D32</f>
        <v>9600</v>
      </c>
      <c r="K32" s="642">
        <f>G32/D32</f>
        <v>75000</v>
      </c>
      <c r="L32" s="522"/>
      <c r="M32" s="522"/>
      <c r="N32" s="572"/>
      <c r="O32" s="522"/>
    </row>
    <row r="33" spans="1:15" x14ac:dyDescent="0.25">
      <c r="A33" s="22">
        <v>2</v>
      </c>
      <c r="B33" s="26" t="s">
        <v>976</v>
      </c>
      <c r="C33" s="23" t="s">
        <v>28</v>
      </c>
      <c r="D33" s="24">
        <v>3</v>
      </c>
      <c r="E33" s="23">
        <v>10</v>
      </c>
      <c r="F33" s="25">
        <v>3000</v>
      </c>
      <c r="G33" s="25">
        <f t="shared" si="17"/>
        <v>90000</v>
      </c>
      <c r="H33" s="268">
        <f t="shared" ref="H33:H37" si="18">G33/589.84</f>
        <v>152.5837515258375</v>
      </c>
      <c r="I33" s="642">
        <f t="shared" ref="I33:I37" si="19">G33*0.03</f>
        <v>2700</v>
      </c>
      <c r="J33" s="642">
        <f>1050*D33</f>
        <v>3150</v>
      </c>
      <c r="K33" s="642">
        <f t="shared" ref="K33:K37" si="20">G33/D33</f>
        <v>30000</v>
      </c>
      <c r="L33" s="522"/>
      <c r="M33" s="522"/>
      <c r="N33" s="572"/>
      <c r="O33" s="522"/>
    </row>
    <row r="34" spans="1:15" x14ac:dyDescent="0.25">
      <c r="A34" s="22">
        <v>3</v>
      </c>
      <c r="B34" s="26" t="s">
        <v>977</v>
      </c>
      <c r="C34" s="23" t="s">
        <v>28</v>
      </c>
      <c r="D34" s="24">
        <v>1</v>
      </c>
      <c r="E34" s="23">
        <v>10</v>
      </c>
      <c r="F34" s="25">
        <v>7500</v>
      </c>
      <c r="G34" s="25">
        <f t="shared" si="17"/>
        <v>75000</v>
      </c>
      <c r="H34" s="268">
        <f t="shared" si="18"/>
        <v>127.15312627153125</v>
      </c>
      <c r="I34" s="642">
        <f t="shared" si="19"/>
        <v>2250</v>
      </c>
      <c r="J34" s="642">
        <f>1600*D34</f>
        <v>1600</v>
      </c>
      <c r="K34" s="642">
        <f t="shared" si="20"/>
        <v>75000</v>
      </c>
      <c r="L34" s="522"/>
      <c r="M34" s="522"/>
      <c r="N34" s="572"/>
      <c r="O34" s="522"/>
    </row>
    <row r="35" spans="1:15" x14ac:dyDescent="0.25">
      <c r="A35" s="22">
        <v>4</v>
      </c>
      <c r="B35" s="26" t="s">
        <v>1365</v>
      </c>
      <c r="C35" s="23" t="s">
        <v>28</v>
      </c>
      <c r="D35" s="24">
        <v>15</v>
      </c>
      <c r="E35" s="23">
        <v>7</v>
      </c>
      <c r="F35" s="25">
        <v>3000</v>
      </c>
      <c r="G35" s="25">
        <f t="shared" si="17"/>
        <v>315000</v>
      </c>
      <c r="H35" s="268">
        <f t="shared" si="18"/>
        <v>534.04313034043128</v>
      </c>
      <c r="I35" s="642">
        <f t="shared" si="19"/>
        <v>9450</v>
      </c>
      <c r="J35" s="642">
        <f>550*D35</f>
        <v>8250</v>
      </c>
      <c r="K35" s="642">
        <f t="shared" si="20"/>
        <v>21000</v>
      </c>
      <c r="L35" s="522"/>
      <c r="M35" s="522"/>
      <c r="N35" s="572"/>
      <c r="O35" s="522"/>
    </row>
    <row r="36" spans="1:15" x14ac:dyDescent="0.25">
      <c r="A36" s="22">
        <v>5</v>
      </c>
      <c r="B36" s="26" t="s">
        <v>1345</v>
      </c>
      <c r="C36" s="23" t="s">
        <v>28</v>
      </c>
      <c r="D36" s="24">
        <v>1</v>
      </c>
      <c r="E36" s="23">
        <v>10</v>
      </c>
      <c r="F36" s="25">
        <v>8000</v>
      </c>
      <c r="G36" s="25">
        <f t="shared" si="17"/>
        <v>80000</v>
      </c>
      <c r="H36" s="268">
        <f t="shared" ref="H36" si="21">G36/589.84</f>
        <v>135.6300013563</v>
      </c>
      <c r="I36" s="642">
        <f t="shared" si="19"/>
        <v>2400</v>
      </c>
      <c r="J36" s="642">
        <f>1600*D36</f>
        <v>1600</v>
      </c>
      <c r="K36" s="642">
        <f t="shared" si="20"/>
        <v>80000</v>
      </c>
      <c r="L36" s="522"/>
      <c r="M36" s="522"/>
      <c r="N36" s="572"/>
      <c r="O36" s="522"/>
    </row>
    <row r="37" spans="1:15" ht="16.5" thickBot="1" x14ac:dyDescent="0.3">
      <c r="A37" s="22">
        <v>6</v>
      </c>
      <c r="B37" s="26" t="s">
        <v>978</v>
      </c>
      <c r="C37" s="23" t="s">
        <v>28</v>
      </c>
      <c r="D37" s="24">
        <v>1</v>
      </c>
      <c r="E37" s="23">
        <v>10</v>
      </c>
      <c r="F37" s="25">
        <v>8000</v>
      </c>
      <c r="G37" s="25">
        <f t="shared" si="17"/>
        <v>80000</v>
      </c>
      <c r="H37" s="268">
        <f t="shared" si="18"/>
        <v>135.6300013563</v>
      </c>
      <c r="I37" s="642">
        <f t="shared" si="19"/>
        <v>2400</v>
      </c>
      <c r="J37" s="642">
        <f>1600*D37</f>
        <v>1600</v>
      </c>
      <c r="K37" s="642">
        <f t="shared" si="20"/>
        <v>80000</v>
      </c>
      <c r="L37" s="522"/>
      <c r="M37" s="522"/>
      <c r="N37" s="572"/>
      <c r="O37" s="522"/>
    </row>
    <row r="38" spans="1:15" ht="18.75" thickBot="1" x14ac:dyDescent="0.3">
      <c r="A38" s="341"/>
      <c r="B38" s="257" t="s">
        <v>1399</v>
      </c>
      <c r="C38" s="343"/>
      <c r="D38" s="343"/>
      <c r="E38" s="343"/>
      <c r="F38" s="344"/>
      <c r="G38" s="344">
        <f>SUM(G32:G37)</f>
        <v>1090000</v>
      </c>
      <c r="H38" s="345">
        <f>SUM(H32:H37)</f>
        <v>1847.9587684795874</v>
      </c>
      <c r="I38" s="263">
        <f>SUM(I32:I37)</f>
        <v>32700</v>
      </c>
      <c r="J38" s="263">
        <f>SUM(J32:J37)</f>
        <v>25800</v>
      </c>
      <c r="K38" s="12"/>
      <c r="L38" s="522"/>
      <c r="M38" s="522"/>
      <c r="N38" s="572"/>
      <c r="O38" s="522"/>
    </row>
    <row r="39" spans="1:15" ht="16.5" thickBot="1" x14ac:dyDescent="0.3">
      <c r="A39" s="22">
        <v>1</v>
      </c>
      <c r="B39" s="26" t="s">
        <v>979</v>
      </c>
      <c r="C39" s="23" t="s">
        <v>28</v>
      </c>
      <c r="D39" s="24">
        <v>18</v>
      </c>
      <c r="E39" s="23">
        <v>10</v>
      </c>
      <c r="F39" s="25">
        <v>7500</v>
      </c>
      <c r="G39" s="25">
        <f t="shared" ref="G39:G44" si="22">D39*E39*F39</f>
        <v>1350000</v>
      </c>
      <c r="H39" s="347">
        <f>G39/589.84</f>
        <v>2288.7562728875628</v>
      </c>
      <c r="I39" s="642">
        <f>G39*0.03</f>
        <v>40500</v>
      </c>
      <c r="J39" s="642">
        <f>1600*D39</f>
        <v>28800</v>
      </c>
      <c r="K39" s="642">
        <f>G39/D39</f>
        <v>75000</v>
      </c>
      <c r="L39" s="522"/>
      <c r="M39" s="522"/>
      <c r="N39" s="572"/>
      <c r="O39" s="522"/>
    </row>
    <row r="40" spans="1:15" x14ac:dyDescent="0.25">
      <c r="A40" s="22">
        <v>2</v>
      </c>
      <c r="B40" s="26" t="s">
        <v>980</v>
      </c>
      <c r="C40" s="23" t="s">
        <v>28</v>
      </c>
      <c r="D40" s="24">
        <v>9</v>
      </c>
      <c r="E40" s="23">
        <v>10</v>
      </c>
      <c r="F40" s="25">
        <v>3000</v>
      </c>
      <c r="G40" s="25">
        <f t="shared" si="22"/>
        <v>270000</v>
      </c>
      <c r="H40" s="268">
        <f t="shared" ref="H40:H44" si="23">G40/589.84</f>
        <v>457.7512545775125</v>
      </c>
      <c r="I40" s="642">
        <f t="shared" ref="I40:I44" si="24">G40*0.03</f>
        <v>8100</v>
      </c>
      <c r="J40" s="642">
        <f>1050*D40</f>
        <v>9450</v>
      </c>
      <c r="K40" s="642">
        <f t="shared" ref="K40:K44" si="25">G40/D40</f>
        <v>30000</v>
      </c>
      <c r="L40" s="522"/>
      <c r="M40" s="522"/>
      <c r="N40" s="572"/>
      <c r="O40" s="522"/>
    </row>
    <row r="41" spans="1:15" x14ac:dyDescent="0.25">
      <c r="A41" s="22">
        <v>3</v>
      </c>
      <c r="B41" s="26" t="s">
        <v>981</v>
      </c>
      <c r="C41" s="23" t="s">
        <v>28</v>
      </c>
      <c r="D41" s="24">
        <v>1</v>
      </c>
      <c r="E41" s="23">
        <v>10</v>
      </c>
      <c r="F41" s="25">
        <v>7500</v>
      </c>
      <c r="G41" s="25">
        <f t="shared" si="22"/>
        <v>75000</v>
      </c>
      <c r="H41" s="268">
        <f t="shared" si="23"/>
        <v>127.15312627153125</v>
      </c>
      <c r="I41" s="642">
        <f t="shared" si="24"/>
        <v>2250</v>
      </c>
      <c r="J41" s="642">
        <f>1600*D41</f>
        <v>1600</v>
      </c>
      <c r="K41" s="642">
        <f t="shared" si="25"/>
        <v>75000</v>
      </c>
      <c r="L41" s="522"/>
      <c r="M41" s="522"/>
      <c r="N41" s="572"/>
      <c r="O41" s="522"/>
    </row>
    <row r="42" spans="1:15" x14ac:dyDescent="0.25">
      <c r="A42" s="22">
        <v>4</v>
      </c>
      <c r="B42" s="26" t="s">
        <v>1365</v>
      </c>
      <c r="C42" s="23" t="s">
        <v>28</v>
      </c>
      <c r="D42" s="24">
        <v>29</v>
      </c>
      <c r="E42" s="23">
        <v>7</v>
      </c>
      <c r="F42" s="25">
        <v>3000</v>
      </c>
      <c r="G42" s="25">
        <f t="shared" si="22"/>
        <v>609000</v>
      </c>
      <c r="H42" s="268">
        <f t="shared" si="23"/>
        <v>1032.4833853248338</v>
      </c>
      <c r="I42" s="642">
        <f t="shared" si="24"/>
        <v>18270</v>
      </c>
      <c r="J42" s="642">
        <f>550*D42</f>
        <v>15950</v>
      </c>
      <c r="K42" s="642">
        <f t="shared" si="25"/>
        <v>21000</v>
      </c>
      <c r="L42" s="522"/>
      <c r="M42" s="522"/>
      <c r="N42" s="572"/>
      <c r="O42" s="522"/>
    </row>
    <row r="43" spans="1:15" x14ac:dyDescent="0.25">
      <c r="A43" s="22">
        <v>5</v>
      </c>
      <c r="B43" s="26" t="s">
        <v>1345</v>
      </c>
      <c r="C43" s="23" t="s">
        <v>28</v>
      </c>
      <c r="D43" s="24">
        <v>1</v>
      </c>
      <c r="E43" s="23">
        <v>10</v>
      </c>
      <c r="F43" s="25">
        <v>8000</v>
      </c>
      <c r="G43" s="25">
        <f t="shared" si="22"/>
        <v>80000</v>
      </c>
      <c r="H43" s="268">
        <f t="shared" ref="H43" si="26">G43/589.84</f>
        <v>135.6300013563</v>
      </c>
      <c r="I43" s="642">
        <f t="shared" si="24"/>
        <v>2400</v>
      </c>
      <c r="J43" s="642">
        <f>1600*D43</f>
        <v>1600</v>
      </c>
      <c r="K43" s="642">
        <f t="shared" si="25"/>
        <v>80000</v>
      </c>
      <c r="L43" s="522"/>
      <c r="M43" s="522"/>
      <c r="N43" s="572"/>
      <c r="O43" s="522"/>
    </row>
    <row r="44" spans="1:15" ht="16.5" thickBot="1" x14ac:dyDescent="0.3">
      <c r="A44" s="22">
        <v>6</v>
      </c>
      <c r="B44" s="26" t="s">
        <v>982</v>
      </c>
      <c r="C44" s="23" t="s">
        <v>28</v>
      </c>
      <c r="D44" s="24">
        <v>2</v>
      </c>
      <c r="E44" s="23">
        <v>10</v>
      </c>
      <c r="F44" s="25">
        <v>8000</v>
      </c>
      <c r="G44" s="25">
        <f t="shared" si="22"/>
        <v>160000</v>
      </c>
      <c r="H44" s="268">
        <f t="shared" si="23"/>
        <v>271.2600027126</v>
      </c>
      <c r="I44" s="642">
        <f t="shared" si="24"/>
        <v>4800</v>
      </c>
      <c r="J44" s="642">
        <f>1600*D44</f>
        <v>3200</v>
      </c>
      <c r="K44" s="642">
        <f t="shared" si="25"/>
        <v>80000</v>
      </c>
      <c r="L44" s="522"/>
      <c r="M44" s="522"/>
      <c r="N44" s="572"/>
      <c r="O44" s="522"/>
    </row>
    <row r="45" spans="1:15" ht="18.75" thickBot="1" x14ac:dyDescent="0.3">
      <c r="A45" s="341"/>
      <c r="B45" s="257" t="s">
        <v>1399</v>
      </c>
      <c r="C45" s="343"/>
      <c r="D45" s="343"/>
      <c r="E45" s="343"/>
      <c r="F45" s="344"/>
      <c r="G45" s="344">
        <f>SUM(G39:G44)</f>
        <v>2544000</v>
      </c>
      <c r="H45" s="345">
        <f>SUM(H39:H44)</f>
        <v>4313.0340431303403</v>
      </c>
      <c r="I45" s="263">
        <f>SUM(I39:I44)</f>
        <v>76320</v>
      </c>
      <c r="J45" s="263">
        <f>SUM(J39:J44)</f>
        <v>60600</v>
      </c>
      <c r="K45" s="12"/>
      <c r="L45" s="522"/>
      <c r="M45" s="522"/>
      <c r="N45" s="572"/>
      <c r="O45" s="522"/>
    </row>
    <row r="46" spans="1:15" ht="16.5" thickBot="1" x14ac:dyDescent="0.3">
      <c r="A46" s="22">
        <v>1</v>
      </c>
      <c r="B46" s="26" t="s">
        <v>983</v>
      </c>
      <c r="C46" s="23" t="s">
        <v>28</v>
      </c>
      <c r="D46" s="24">
        <v>6</v>
      </c>
      <c r="E46" s="23">
        <v>10</v>
      </c>
      <c r="F46" s="25">
        <v>7500</v>
      </c>
      <c r="G46" s="25">
        <f>D46*E46*F46</f>
        <v>450000</v>
      </c>
      <c r="H46" s="347">
        <f>G46/589.84</f>
        <v>762.91875762918755</v>
      </c>
      <c r="I46" s="642">
        <f>G46*0.03</f>
        <v>13500</v>
      </c>
      <c r="J46" s="642">
        <f>1600*D46</f>
        <v>9600</v>
      </c>
      <c r="K46" s="642">
        <f>G46/D46</f>
        <v>75000</v>
      </c>
      <c r="L46" s="522"/>
      <c r="M46" s="522"/>
      <c r="N46" s="572"/>
      <c r="O46" s="522"/>
    </row>
    <row r="47" spans="1:15" x14ac:dyDescent="0.25">
      <c r="A47" s="22">
        <v>2</v>
      </c>
      <c r="B47" s="26" t="s">
        <v>984</v>
      </c>
      <c r="C47" s="23" t="s">
        <v>28</v>
      </c>
      <c r="D47" s="24">
        <v>3</v>
      </c>
      <c r="E47" s="23">
        <v>10</v>
      </c>
      <c r="F47" s="25">
        <v>3000</v>
      </c>
      <c r="G47" s="25">
        <f>D47*E47*F47</f>
        <v>90000</v>
      </c>
      <c r="H47" s="268">
        <f t="shared" ref="H47:H52" si="27">G47/589.84</f>
        <v>152.5837515258375</v>
      </c>
      <c r="I47" s="642">
        <f t="shared" ref="I47:I52" si="28">G47*0.03</f>
        <v>2700</v>
      </c>
      <c r="J47" s="642">
        <f>1050*D47</f>
        <v>3150</v>
      </c>
      <c r="K47" s="642">
        <f t="shared" ref="K47:K52" si="29">G47/D47</f>
        <v>30000</v>
      </c>
      <c r="L47" s="522"/>
      <c r="M47" s="522"/>
      <c r="N47" s="572"/>
      <c r="O47" s="522"/>
    </row>
    <row r="48" spans="1:15" x14ac:dyDescent="0.25">
      <c r="A48" s="22">
        <v>3</v>
      </c>
      <c r="B48" s="26" t="s">
        <v>985</v>
      </c>
      <c r="C48" s="23" t="s">
        <v>28</v>
      </c>
      <c r="D48" s="24">
        <v>1</v>
      </c>
      <c r="E48" s="23">
        <v>10</v>
      </c>
      <c r="F48" s="25">
        <v>7500</v>
      </c>
      <c r="G48" s="25">
        <f>D48*E48*F48</f>
        <v>75000</v>
      </c>
      <c r="H48" s="268">
        <f t="shared" si="27"/>
        <v>127.15312627153125</v>
      </c>
      <c r="I48" s="642">
        <f t="shared" si="28"/>
        <v>2250</v>
      </c>
      <c r="J48" s="642">
        <f>1600*D48</f>
        <v>1600</v>
      </c>
      <c r="K48" s="642">
        <f t="shared" si="29"/>
        <v>75000</v>
      </c>
      <c r="L48" s="522"/>
      <c r="M48" s="522"/>
      <c r="N48" s="572"/>
      <c r="O48" s="522"/>
    </row>
    <row r="49" spans="1:15" x14ac:dyDescent="0.25">
      <c r="A49" s="22">
        <v>4</v>
      </c>
      <c r="B49" s="26" t="s">
        <v>981</v>
      </c>
      <c r="C49" s="23" t="s">
        <v>28</v>
      </c>
      <c r="D49" s="24">
        <v>1</v>
      </c>
      <c r="E49" s="23">
        <v>10</v>
      </c>
      <c r="F49" s="25">
        <v>7500</v>
      </c>
      <c r="G49" s="25">
        <f t="shared" ref="G49:G50" si="30">D49*E49*F49</f>
        <v>75000</v>
      </c>
      <c r="H49" s="268">
        <f t="shared" ref="H49:H50" si="31">G49/589.84</f>
        <v>127.15312627153125</v>
      </c>
      <c r="I49" s="642">
        <f t="shared" si="28"/>
        <v>2250</v>
      </c>
      <c r="J49" s="642">
        <f>1600*D49</f>
        <v>1600</v>
      </c>
      <c r="K49" s="642">
        <f t="shared" si="29"/>
        <v>75000</v>
      </c>
      <c r="L49" s="522"/>
      <c r="M49" s="522"/>
      <c r="N49" s="572"/>
      <c r="O49" s="522"/>
    </row>
    <row r="50" spans="1:15" x14ac:dyDescent="0.25">
      <c r="A50" s="22">
        <v>5</v>
      </c>
      <c r="B50" s="26" t="s">
        <v>1365</v>
      </c>
      <c r="C50" s="23" t="s">
        <v>28</v>
      </c>
      <c r="D50" s="24">
        <v>18</v>
      </c>
      <c r="E50" s="23">
        <v>7</v>
      </c>
      <c r="F50" s="25">
        <v>3000</v>
      </c>
      <c r="G50" s="25">
        <f t="shared" si="30"/>
        <v>378000</v>
      </c>
      <c r="H50" s="268">
        <f t="shared" si="31"/>
        <v>640.85175640851753</v>
      </c>
      <c r="I50" s="642">
        <f t="shared" si="28"/>
        <v>11340</v>
      </c>
      <c r="J50" s="642">
        <f>550*D50</f>
        <v>9900</v>
      </c>
      <c r="K50" s="642">
        <f t="shared" si="29"/>
        <v>21000</v>
      </c>
      <c r="L50" s="522"/>
      <c r="M50" s="522"/>
      <c r="N50" s="572"/>
      <c r="O50" s="522"/>
    </row>
    <row r="51" spans="1:15" x14ac:dyDescent="0.25">
      <c r="A51" s="22">
        <v>6</v>
      </c>
      <c r="B51" s="26" t="s">
        <v>1345</v>
      </c>
      <c r="C51" s="23" t="s">
        <v>28</v>
      </c>
      <c r="D51" s="24">
        <v>1</v>
      </c>
      <c r="E51" s="23">
        <v>10</v>
      </c>
      <c r="F51" s="25">
        <v>8000</v>
      </c>
      <c r="G51" s="25">
        <f>D51*E51*F51</f>
        <v>80000</v>
      </c>
      <c r="H51" s="268">
        <f t="shared" ref="H51" si="32">G51/589.84</f>
        <v>135.6300013563</v>
      </c>
      <c r="I51" s="642">
        <f t="shared" si="28"/>
        <v>2400</v>
      </c>
      <c r="J51" s="642">
        <f>1600*D51</f>
        <v>1600</v>
      </c>
      <c r="K51" s="642">
        <f t="shared" si="29"/>
        <v>80000</v>
      </c>
      <c r="L51" s="522"/>
      <c r="M51" s="522"/>
      <c r="N51" s="572"/>
      <c r="O51" s="522"/>
    </row>
    <row r="52" spans="1:15" ht="16.5" thickBot="1" x14ac:dyDescent="0.3">
      <c r="A52" s="22">
        <v>7</v>
      </c>
      <c r="B52" s="26" t="s">
        <v>986</v>
      </c>
      <c r="C52" s="23" t="s">
        <v>28</v>
      </c>
      <c r="D52" s="24">
        <v>1</v>
      </c>
      <c r="E52" s="23">
        <v>10</v>
      </c>
      <c r="F52" s="25">
        <v>8000</v>
      </c>
      <c r="G52" s="25">
        <f>D52*E52*F52</f>
        <v>80000</v>
      </c>
      <c r="H52" s="268">
        <f t="shared" si="27"/>
        <v>135.6300013563</v>
      </c>
      <c r="I52" s="642">
        <f t="shared" si="28"/>
        <v>2400</v>
      </c>
      <c r="J52" s="642">
        <f>1600*D52</f>
        <v>1600</v>
      </c>
      <c r="K52" s="642">
        <f t="shared" si="29"/>
        <v>80000</v>
      </c>
      <c r="L52" s="522"/>
      <c r="M52" s="522"/>
      <c r="N52" s="572"/>
      <c r="O52" s="522"/>
    </row>
    <row r="53" spans="1:15" ht="18.75" thickBot="1" x14ac:dyDescent="0.3">
      <c r="A53" s="341"/>
      <c r="B53" s="257" t="s">
        <v>1399</v>
      </c>
      <c r="C53" s="343"/>
      <c r="D53" s="343"/>
      <c r="E53" s="343"/>
      <c r="F53" s="344"/>
      <c r="G53" s="344">
        <f>SUM(G46:G52)</f>
        <v>1228000</v>
      </c>
      <c r="H53" s="345">
        <f>SUM(H46:H52)</f>
        <v>2081.9205208192052</v>
      </c>
      <c r="I53" s="263">
        <f>SUM(I46:I52)</f>
        <v>36840</v>
      </c>
      <c r="J53" s="263">
        <f>SUM(J46:J52)</f>
        <v>29050</v>
      </c>
      <c r="K53" s="522"/>
      <c r="L53" s="522"/>
      <c r="M53" s="522"/>
      <c r="N53" s="572"/>
      <c r="O53" s="522"/>
    </row>
    <row r="54" spans="1:15" ht="16.5" thickBot="1" x14ac:dyDescent="0.3">
      <c r="A54" s="22">
        <v>1</v>
      </c>
      <c r="B54" s="26" t="s">
        <v>987</v>
      </c>
      <c r="C54" s="23" t="s">
        <v>28</v>
      </c>
      <c r="D54" s="24">
        <v>4</v>
      </c>
      <c r="E54" s="23">
        <v>10</v>
      </c>
      <c r="F54" s="25">
        <v>7500</v>
      </c>
      <c r="G54" s="25">
        <f t="shared" ref="G54:G59" si="33">D54*E54*F54</f>
        <v>300000</v>
      </c>
      <c r="H54" s="347">
        <f>G54/589.84</f>
        <v>508.612505086125</v>
      </c>
      <c r="I54" s="642">
        <f t="shared" ref="I54:I58" si="34">G54*0.03</f>
        <v>9000</v>
      </c>
      <c r="J54" s="642">
        <f>1600*D54</f>
        <v>6400</v>
      </c>
      <c r="K54" s="642">
        <f t="shared" ref="K54:K57" si="35">G54/D54</f>
        <v>75000</v>
      </c>
      <c r="L54" s="522"/>
      <c r="M54" s="522"/>
      <c r="N54" s="572"/>
      <c r="O54" s="522"/>
    </row>
    <row r="55" spans="1:15" x14ac:dyDescent="0.25">
      <c r="A55" s="22">
        <v>2</v>
      </c>
      <c r="B55" s="26" t="s">
        <v>988</v>
      </c>
      <c r="C55" s="23" t="s">
        <v>28</v>
      </c>
      <c r="D55" s="24">
        <v>2</v>
      </c>
      <c r="E55" s="23">
        <v>10</v>
      </c>
      <c r="F55" s="25">
        <v>3000</v>
      </c>
      <c r="G55" s="25">
        <f t="shared" si="33"/>
        <v>60000</v>
      </c>
      <c r="H55" s="268">
        <f t="shared" ref="H55:H59" si="36">G55/589.84</f>
        <v>101.722501017225</v>
      </c>
      <c r="I55" s="642">
        <f t="shared" si="34"/>
        <v>1800</v>
      </c>
      <c r="J55" s="642">
        <f>1050*D55</f>
        <v>2100</v>
      </c>
      <c r="K55" s="642">
        <f t="shared" si="35"/>
        <v>30000</v>
      </c>
      <c r="L55" s="522"/>
      <c r="M55" s="522"/>
      <c r="N55" s="572"/>
      <c r="O55" s="522"/>
    </row>
    <row r="56" spans="1:15" x14ac:dyDescent="0.25">
      <c r="A56" s="22">
        <v>3</v>
      </c>
      <c r="B56" s="26" t="s">
        <v>989</v>
      </c>
      <c r="C56" s="23" t="s">
        <v>28</v>
      </c>
      <c r="D56" s="24">
        <v>1</v>
      </c>
      <c r="E56" s="23">
        <v>10</v>
      </c>
      <c r="F56" s="25">
        <v>7500</v>
      </c>
      <c r="G56" s="25">
        <f t="shared" si="33"/>
        <v>75000</v>
      </c>
      <c r="H56" s="268">
        <f t="shared" si="36"/>
        <v>127.15312627153125</v>
      </c>
      <c r="I56" s="642">
        <f t="shared" si="34"/>
        <v>2250</v>
      </c>
      <c r="J56" s="642">
        <f>1600*D56</f>
        <v>1600</v>
      </c>
      <c r="K56" s="642">
        <f t="shared" si="35"/>
        <v>75000</v>
      </c>
      <c r="L56" s="522"/>
      <c r="M56" s="522"/>
      <c r="N56" s="572"/>
      <c r="O56" s="522"/>
    </row>
    <row r="57" spans="1:15" x14ac:dyDescent="0.25">
      <c r="A57" s="22">
        <v>4</v>
      </c>
      <c r="B57" s="26" t="s">
        <v>1365</v>
      </c>
      <c r="C57" s="23" t="s">
        <v>28</v>
      </c>
      <c r="D57" s="24">
        <v>12</v>
      </c>
      <c r="E57" s="23">
        <v>7</v>
      </c>
      <c r="F57" s="25">
        <v>3000</v>
      </c>
      <c r="G57" s="25">
        <f t="shared" si="33"/>
        <v>252000</v>
      </c>
      <c r="H57" s="268">
        <f t="shared" si="36"/>
        <v>427.23450427234502</v>
      </c>
      <c r="I57" s="642">
        <f t="shared" si="34"/>
        <v>7560</v>
      </c>
      <c r="J57" s="642">
        <f>550*D57</f>
        <v>6600</v>
      </c>
      <c r="K57" s="642">
        <f t="shared" si="35"/>
        <v>21000</v>
      </c>
      <c r="L57" s="522"/>
      <c r="M57" s="522"/>
      <c r="N57" s="572"/>
      <c r="O57" s="522"/>
    </row>
    <row r="58" spans="1:15" x14ac:dyDescent="0.25">
      <c r="A58" s="22">
        <v>5</v>
      </c>
      <c r="B58" s="26" t="s">
        <v>1345</v>
      </c>
      <c r="C58" s="23" t="s">
        <v>28</v>
      </c>
      <c r="D58" s="24">
        <v>1</v>
      </c>
      <c r="E58" s="23">
        <v>10</v>
      </c>
      <c r="F58" s="25">
        <v>8000</v>
      </c>
      <c r="G58" s="25">
        <f t="shared" si="33"/>
        <v>80000</v>
      </c>
      <c r="H58" s="268">
        <f t="shared" ref="H58" si="37">G58/589.84</f>
        <v>135.6300013563</v>
      </c>
      <c r="I58" s="642">
        <f t="shared" si="34"/>
        <v>2400</v>
      </c>
      <c r="J58" s="642">
        <f>1600*D58</f>
        <v>1600</v>
      </c>
      <c r="K58" s="642">
        <f>G58/D58</f>
        <v>80000</v>
      </c>
      <c r="L58" s="522"/>
      <c r="M58" s="522"/>
      <c r="N58" s="572"/>
      <c r="O58" s="522"/>
    </row>
    <row r="59" spans="1:15" ht="16.5" thickBot="1" x14ac:dyDescent="0.3">
      <c r="A59" s="22">
        <v>6</v>
      </c>
      <c r="B59" s="26" t="s">
        <v>990</v>
      </c>
      <c r="C59" s="23" t="s">
        <v>28</v>
      </c>
      <c r="D59" s="24">
        <v>1</v>
      </c>
      <c r="E59" s="23">
        <v>10</v>
      </c>
      <c r="F59" s="25">
        <v>8000</v>
      </c>
      <c r="G59" s="25">
        <f t="shared" si="33"/>
        <v>80000</v>
      </c>
      <c r="H59" s="268">
        <f t="shared" si="36"/>
        <v>135.6300013563</v>
      </c>
      <c r="I59" s="642">
        <f t="shared" ref="I59" si="38">G59*0.03</f>
        <v>2400</v>
      </c>
      <c r="J59" s="642">
        <f>1600*D59</f>
        <v>1600</v>
      </c>
      <c r="K59" s="642">
        <f>G59/D59</f>
        <v>80000</v>
      </c>
      <c r="L59" s="522"/>
      <c r="M59" s="522"/>
      <c r="N59" s="572"/>
      <c r="O59" s="522"/>
    </row>
    <row r="60" spans="1:15" ht="18.75" thickBot="1" x14ac:dyDescent="0.3">
      <c r="A60" s="341"/>
      <c r="B60" s="257" t="s">
        <v>1399</v>
      </c>
      <c r="C60" s="343"/>
      <c r="D60" s="343"/>
      <c r="E60" s="343"/>
      <c r="F60" s="344"/>
      <c r="G60" s="344">
        <f>SUM(G54:G59)</f>
        <v>847000</v>
      </c>
      <c r="H60" s="345">
        <f>SUM(H54:H59)</f>
        <v>1435.9826393598264</v>
      </c>
      <c r="I60" s="263">
        <f>SUM(I54:I59)</f>
        <v>25410</v>
      </c>
      <c r="J60" s="263">
        <f>SUM(J54:J59)</f>
        <v>19900</v>
      </c>
      <c r="K60" s="642"/>
      <c r="L60" s="522"/>
      <c r="M60" s="522"/>
      <c r="N60" s="572"/>
      <c r="O60" s="522"/>
    </row>
    <row r="61" spans="1:15" ht="16.5" thickBot="1" x14ac:dyDescent="0.3">
      <c r="A61" s="22">
        <v>1</v>
      </c>
      <c r="B61" s="26" t="s">
        <v>991</v>
      </c>
      <c r="C61" s="23" t="s">
        <v>28</v>
      </c>
      <c r="D61" s="24">
        <v>2</v>
      </c>
      <c r="E61" s="23">
        <v>10</v>
      </c>
      <c r="F61" s="25">
        <v>7500</v>
      </c>
      <c r="G61" s="25">
        <f t="shared" ref="G61:G66" si="39">D61*E61*F61</f>
        <v>150000</v>
      </c>
      <c r="H61" s="347">
        <f>G61/589.84</f>
        <v>254.3062525430625</v>
      </c>
      <c r="I61" s="642">
        <f t="shared" ref="I61:I65" si="40">G61*0.03</f>
        <v>4500</v>
      </c>
      <c r="J61" s="642">
        <f>1600*D61</f>
        <v>3200</v>
      </c>
      <c r="K61" s="642">
        <f t="shared" ref="K61:K66" si="41">G61/D61</f>
        <v>75000</v>
      </c>
      <c r="L61" s="522"/>
      <c r="M61" s="522"/>
      <c r="N61" s="572"/>
      <c r="O61" s="522"/>
    </row>
    <row r="62" spans="1:15" x14ac:dyDescent="0.25">
      <c r="A62" s="22">
        <v>2</v>
      </c>
      <c r="B62" s="26" t="s">
        <v>992</v>
      </c>
      <c r="C62" s="23" t="s">
        <v>28</v>
      </c>
      <c r="D62" s="24">
        <v>1</v>
      </c>
      <c r="E62" s="23">
        <v>10</v>
      </c>
      <c r="F62" s="25">
        <v>3000</v>
      </c>
      <c r="G62" s="25">
        <f t="shared" si="39"/>
        <v>30000</v>
      </c>
      <c r="H62" s="268">
        <f t="shared" ref="H62:H66" si="42">G62/589.84</f>
        <v>50.8612505086125</v>
      </c>
      <c r="I62" s="642">
        <f t="shared" si="40"/>
        <v>900</v>
      </c>
      <c r="J62" s="642">
        <f>1050*D62</f>
        <v>1050</v>
      </c>
      <c r="K62" s="642">
        <f t="shared" si="41"/>
        <v>30000</v>
      </c>
      <c r="L62" s="522"/>
      <c r="M62" s="522"/>
      <c r="N62" s="572"/>
      <c r="O62" s="522"/>
    </row>
    <row r="63" spans="1:15" x14ac:dyDescent="0.25">
      <c r="A63" s="22">
        <v>3</v>
      </c>
      <c r="B63" s="26" t="s">
        <v>993</v>
      </c>
      <c r="C63" s="23" t="s">
        <v>28</v>
      </c>
      <c r="D63" s="24">
        <v>1</v>
      </c>
      <c r="E63" s="23">
        <v>10</v>
      </c>
      <c r="F63" s="25">
        <v>7500</v>
      </c>
      <c r="G63" s="25">
        <f t="shared" si="39"/>
        <v>75000</v>
      </c>
      <c r="H63" s="268">
        <f t="shared" si="42"/>
        <v>127.15312627153125</v>
      </c>
      <c r="I63" s="642">
        <f t="shared" si="40"/>
        <v>2250</v>
      </c>
      <c r="J63" s="642">
        <f>1600*D63</f>
        <v>1600</v>
      </c>
      <c r="K63" s="642">
        <f t="shared" si="41"/>
        <v>75000</v>
      </c>
      <c r="L63" s="522"/>
      <c r="M63" s="522"/>
      <c r="N63" s="572"/>
      <c r="O63" s="522"/>
    </row>
    <row r="64" spans="1:15" x14ac:dyDescent="0.25">
      <c r="A64" s="22">
        <v>4</v>
      </c>
      <c r="B64" s="26" t="s">
        <v>1365</v>
      </c>
      <c r="C64" s="23" t="s">
        <v>28</v>
      </c>
      <c r="D64" s="24">
        <v>13</v>
      </c>
      <c r="E64" s="23">
        <v>7</v>
      </c>
      <c r="F64" s="25">
        <v>3000</v>
      </c>
      <c r="G64" s="25">
        <f t="shared" si="39"/>
        <v>273000</v>
      </c>
      <c r="H64" s="268">
        <f t="shared" si="42"/>
        <v>462.83737962837375</v>
      </c>
      <c r="I64" s="642">
        <f t="shared" si="40"/>
        <v>8190</v>
      </c>
      <c r="J64" s="642">
        <f>550*D64</f>
        <v>7150</v>
      </c>
      <c r="K64" s="642">
        <f t="shared" si="41"/>
        <v>21000</v>
      </c>
      <c r="L64" s="522"/>
      <c r="M64" s="522"/>
      <c r="N64" s="572"/>
      <c r="O64" s="522"/>
    </row>
    <row r="65" spans="1:15" x14ac:dyDescent="0.25">
      <c r="A65" s="22">
        <v>5</v>
      </c>
      <c r="B65" s="26" t="s">
        <v>1345</v>
      </c>
      <c r="C65" s="23" t="s">
        <v>28</v>
      </c>
      <c r="D65" s="24">
        <v>1</v>
      </c>
      <c r="E65" s="23">
        <v>10</v>
      </c>
      <c r="F65" s="25">
        <v>8000</v>
      </c>
      <c r="G65" s="25">
        <f t="shared" si="39"/>
        <v>80000</v>
      </c>
      <c r="H65" s="268">
        <f t="shared" ref="H65" si="43">G65/589.84</f>
        <v>135.6300013563</v>
      </c>
      <c r="I65" s="642">
        <f t="shared" si="40"/>
        <v>2400</v>
      </c>
      <c r="J65" s="642">
        <f>1600*D65</f>
        <v>1600</v>
      </c>
      <c r="K65" s="642">
        <f t="shared" si="41"/>
        <v>80000</v>
      </c>
      <c r="L65" s="522"/>
      <c r="M65" s="522"/>
      <c r="N65" s="572"/>
      <c r="O65" s="522"/>
    </row>
    <row r="66" spans="1:15" ht="16.5" thickBot="1" x14ac:dyDescent="0.3">
      <c r="A66" s="22">
        <v>6</v>
      </c>
      <c r="B66" s="26" t="s">
        <v>994</v>
      </c>
      <c r="C66" s="23" t="s">
        <v>28</v>
      </c>
      <c r="D66" s="24">
        <v>1</v>
      </c>
      <c r="E66" s="23">
        <v>10</v>
      </c>
      <c r="F66" s="25">
        <v>8000</v>
      </c>
      <c r="G66" s="25">
        <f t="shared" si="39"/>
        <v>80000</v>
      </c>
      <c r="H66" s="268">
        <f t="shared" si="42"/>
        <v>135.6300013563</v>
      </c>
      <c r="I66" s="642">
        <f t="shared" ref="I66" si="44">G66*0.03</f>
        <v>2400</v>
      </c>
      <c r="J66" s="642">
        <f>1600*D66</f>
        <v>1600</v>
      </c>
      <c r="K66" s="642">
        <f t="shared" si="41"/>
        <v>80000</v>
      </c>
      <c r="L66" s="522"/>
      <c r="M66" s="522"/>
      <c r="N66" s="572"/>
      <c r="O66" s="522"/>
    </row>
    <row r="67" spans="1:15" ht="18.75" thickBot="1" x14ac:dyDescent="0.3">
      <c r="A67" s="341"/>
      <c r="B67" s="257" t="s">
        <v>1399</v>
      </c>
      <c r="C67" s="343"/>
      <c r="D67" s="343"/>
      <c r="E67" s="343"/>
      <c r="F67" s="344"/>
      <c r="G67" s="344">
        <f>SUM(G61:G66)</f>
        <v>688000</v>
      </c>
      <c r="H67" s="345">
        <f>SUM(H61:H66)</f>
        <v>1166.4180116641801</v>
      </c>
      <c r="I67" s="263">
        <f>SUM(I61:I66)</f>
        <v>20640</v>
      </c>
      <c r="J67" s="263">
        <f>SUM(J61:J66)</f>
        <v>16200</v>
      </c>
      <c r="K67" s="642"/>
      <c r="L67" s="522"/>
      <c r="M67" s="522"/>
      <c r="N67" s="572"/>
      <c r="O67" s="522"/>
    </row>
    <row r="68" spans="1:15" ht="16.5" thickBot="1" x14ac:dyDescent="0.3">
      <c r="A68" s="22">
        <v>1</v>
      </c>
      <c r="B68" s="26" t="s">
        <v>995</v>
      </c>
      <c r="C68" s="23" t="s">
        <v>28</v>
      </c>
      <c r="D68" s="24">
        <v>8</v>
      </c>
      <c r="E68" s="23">
        <v>10</v>
      </c>
      <c r="F68" s="25">
        <v>7500</v>
      </c>
      <c r="G68" s="25">
        <f t="shared" ref="G68:G73" si="45">D68*E68*F68</f>
        <v>600000</v>
      </c>
      <c r="H68" s="347">
        <f>G68/589.84</f>
        <v>1017.22501017225</v>
      </c>
      <c r="I68" s="642">
        <f t="shared" ref="I68:I72" si="46">G68*0.03</f>
        <v>18000</v>
      </c>
      <c r="J68" s="642">
        <f>1600*D68</f>
        <v>12800</v>
      </c>
      <c r="K68" s="642">
        <f t="shared" ref="K68:K72" si="47">G68/D68</f>
        <v>75000</v>
      </c>
      <c r="L68" s="522"/>
      <c r="M68" s="522"/>
      <c r="N68" s="572"/>
      <c r="O68" s="522"/>
    </row>
    <row r="69" spans="1:15" x14ac:dyDescent="0.25">
      <c r="A69" s="22">
        <v>2</v>
      </c>
      <c r="B69" s="26" t="s">
        <v>996</v>
      </c>
      <c r="C69" s="23" t="s">
        <v>28</v>
      </c>
      <c r="D69" s="24">
        <v>4</v>
      </c>
      <c r="E69" s="23">
        <v>10</v>
      </c>
      <c r="F69" s="25">
        <v>3000</v>
      </c>
      <c r="G69" s="25">
        <f t="shared" si="45"/>
        <v>120000</v>
      </c>
      <c r="H69" s="268">
        <f t="shared" ref="H69:H73" si="48">G69/589.84</f>
        <v>203.44500203445</v>
      </c>
      <c r="I69" s="642">
        <f t="shared" si="46"/>
        <v>3600</v>
      </c>
      <c r="J69" s="642">
        <f>1050*D69</f>
        <v>4200</v>
      </c>
      <c r="K69" s="642">
        <f t="shared" si="47"/>
        <v>30000</v>
      </c>
      <c r="L69" s="522"/>
      <c r="M69" s="522"/>
      <c r="N69" s="572"/>
      <c r="O69" s="522"/>
    </row>
    <row r="70" spans="1:15" x14ac:dyDescent="0.25">
      <c r="A70" s="22">
        <v>3</v>
      </c>
      <c r="B70" s="26" t="s">
        <v>997</v>
      </c>
      <c r="C70" s="23" t="s">
        <v>28</v>
      </c>
      <c r="D70" s="24">
        <v>1</v>
      </c>
      <c r="E70" s="23">
        <v>10</v>
      </c>
      <c r="F70" s="25">
        <v>7500</v>
      </c>
      <c r="G70" s="25">
        <f t="shared" si="45"/>
        <v>75000</v>
      </c>
      <c r="H70" s="268">
        <f t="shared" si="48"/>
        <v>127.15312627153125</v>
      </c>
      <c r="I70" s="642">
        <f t="shared" si="46"/>
        <v>2250</v>
      </c>
      <c r="J70" s="642">
        <f>1600*D70</f>
        <v>1600</v>
      </c>
      <c r="K70" s="642">
        <f t="shared" si="47"/>
        <v>75000</v>
      </c>
      <c r="L70" s="522"/>
      <c r="M70" s="522"/>
      <c r="N70" s="572"/>
      <c r="O70" s="522"/>
    </row>
    <row r="71" spans="1:15" x14ac:dyDescent="0.25">
      <c r="A71" s="22">
        <v>4</v>
      </c>
      <c r="B71" s="26" t="s">
        <v>1365</v>
      </c>
      <c r="C71" s="23" t="s">
        <v>28</v>
      </c>
      <c r="D71" s="24">
        <v>32</v>
      </c>
      <c r="E71" s="23">
        <v>7</v>
      </c>
      <c r="F71" s="25">
        <v>3000</v>
      </c>
      <c r="G71" s="25">
        <f t="shared" si="45"/>
        <v>672000</v>
      </c>
      <c r="H71" s="268">
        <f t="shared" si="48"/>
        <v>1139.2920113929201</v>
      </c>
      <c r="I71" s="642">
        <f t="shared" si="46"/>
        <v>20160</v>
      </c>
      <c r="J71" s="642">
        <f>550*D71</f>
        <v>17600</v>
      </c>
      <c r="K71" s="642">
        <f t="shared" si="47"/>
        <v>21000</v>
      </c>
      <c r="L71" s="522"/>
      <c r="M71" s="522"/>
      <c r="N71" s="572"/>
      <c r="O71" s="522"/>
    </row>
    <row r="72" spans="1:15" x14ac:dyDescent="0.25">
      <c r="A72" s="22">
        <v>5</v>
      </c>
      <c r="B72" s="26" t="s">
        <v>1345</v>
      </c>
      <c r="C72" s="23" t="s">
        <v>28</v>
      </c>
      <c r="D72" s="24">
        <v>1</v>
      </c>
      <c r="E72" s="23">
        <v>10</v>
      </c>
      <c r="F72" s="25">
        <v>8000</v>
      </c>
      <c r="G72" s="25">
        <f t="shared" si="45"/>
        <v>80000</v>
      </c>
      <c r="H72" s="268">
        <f t="shared" ref="H72" si="49">G72/589.84</f>
        <v>135.6300013563</v>
      </c>
      <c r="I72" s="642">
        <f t="shared" si="46"/>
        <v>2400</v>
      </c>
      <c r="J72" s="642">
        <f>1600*D72</f>
        <v>1600</v>
      </c>
      <c r="K72" s="642">
        <f t="shared" si="47"/>
        <v>80000</v>
      </c>
      <c r="L72" s="522"/>
      <c r="M72" s="522"/>
      <c r="N72" s="572"/>
      <c r="O72" s="522"/>
    </row>
    <row r="73" spans="1:15" ht="16.5" thickBot="1" x14ac:dyDescent="0.3">
      <c r="A73" s="22">
        <v>6</v>
      </c>
      <c r="B73" s="26" t="s">
        <v>998</v>
      </c>
      <c r="C73" s="23" t="s">
        <v>28</v>
      </c>
      <c r="D73" s="24">
        <v>1</v>
      </c>
      <c r="E73" s="23">
        <v>10</v>
      </c>
      <c r="F73" s="25">
        <v>8000</v>
      </c>
      <c r="G73" s="25">
        <f t="shared" si="45"/>
        <v>80000</v>
      </c>
      <c r="H73" s="268">
        <f t="shared" si="48"/>
        <v>135.6300013563</v>
      </c>
      <c r="I73" s="642">
        <f t="shared" ref="I73" si="50">G73*0.03</f>
        <v>2400</v>
      </c>
      <c r="J73" s="642">
        <f>1600*D73</f>
        <v>1600</v>
      </c>
      <c r="K73" s="642">
        <f t="shared" ref="K73" si="51">G73/D73</f>
        <v>80000</v>
      </c>
      <c r="L73" s="522"/>
      <c r="M73" s="522"/>
      <c r="N73" s="572"/>
      <c r="O73" s="522"/>
    </row>
    <row r="74" spans="1:15" ht="18.75" thickBot="1" x14ac:dyDescent="0.3">
      <c r="A74" s="341"/>
      <c r="B74" s="257" t="s">
        <v>1399</v>
      </c>
      <c r="C74" s="343"/>
      <c r="D74" s="343"/>
      <c r="E74" s="343"/>
      <c r="F74" s="344"/>
      <c r="G74" s="344">
        <f>SUM(G68:G73)</f>
        <v>1627000</v>
      </c>
      <c r="H74" s="345">
        <f>SUM(H68:H73)</f>
        <v>2758.3751525837515</v>
      </c>
      <c r="I74" s="263">
        <f>SUM(I68:I73)</f>
        <v>48810</v>
      </c>
      <c r="J74" s="263">
        <f>SUM(J68:J73)</f>
        <v>39400</v>
      </c>
      <c r="K74" s="642"/>
      <c r="L74" s="522"/>
      <c r="M74" s="522"/>
      <c r="N74" s="572"/>
      <c r="O74" s="522"/>
    </row>
    <row r="75" spans="1:15" ht="16.5" thickBot="1" x14ac:dyDescent="0.3">
      <c r="A75" s="22">
        <v>1</v>
      </c>
      <c r="B75" s="26" t="s">
        <v>999</v>
      </c>
      <c r="C75" s="23" t="s">
        <v>28</v>
      </c>
      <c r="D75" s="24">
        <v>4</v>
      </c>
      <c r="E75" s="23">
        <v>10</v>
      </c>
      <c r="F75" s="25">
        <v>7500</v>
      </c>
      <c r="G75" s="25">
        <f t="shared" ref="G75:G80" si="52">D75*E75*F75</f>
        <v>300000</v>
      </c>
      <c r="H75" s="347">
        <f>G75/589.84</f>
        <v>508.612505086125</v>
      </c>
      <c r="I75" s="642">
        <f t="shared" ref="I75:I79" si="53">G75*0.03</f>
        <v>9000</v>
      </c>
      <c r="J75" s="642">
        <f>1600*D75</f>
        <v>6400</v>
      </c>
      <c r="K75" s="642">
        <f t="shared" ref="K75:K79" si="54">G75/D75</f>
        <v>75000</v>
      </c>
      <c r="L75" s="522"/>
      <c r="M75" s="522"/>
      <c r="N75" s="572"/>
      <c r="O75" s="522"/>
    </row>
    <row r="76" spans="1:15" x14ac:dyDescent="0.25">
      <c r="A76" s="22">
        <v>2</v>
      </c>
      <c r="B76" s="26" t="s">
        <v>1000</v>
      </c>
      <c r="C76" s="23" t="s">
        <v>28</v>
      </c>
      <c r="D76" s="24">
        <v>2</v>
      </c>
      <c r="E76" s="23">
        <v>10</v>
      </c>
      <c r="F76" s="25">
        <v>3000</v>
      </c>
      <c r="G76" s="25">
        <f t="shared" si="52"/>
        <v>60000</v>
      </c>
      <c r="H76" s="268">
        <f t="shared" ref="H76:H80" si="55">G76/589.84</f>
        <v>101.722501017225</v>
      </c>
      <c r="I76" s="642">
        <f t="shared" si="53"/>
        <v>1800</v>
      </c>
      <c r="J76" s="642">
        <f>1050*D76</f>
        <v>2100</v>
      </c>
      <c r="K76" s="642">
        <f t="shared" si="54"/>
        <v>30000</v>
      </c>
      <c r="L76" s="522"/>
      <c r="M76" s="522"/>
      <c r="N76" s="572"/>
      <c r="O76" s="522"/>
    </row>
    <row r="77" spans="1:15" x14ac:dyDescent="0.25">
      <c r="A77" s="22">
        <v>3</v>
      </c>
      <c r="B77" s="26" t="s">
        <v>1001</v>
      </c>
      <c r="C77" s="23" t="s">
        <v>28</v>
      </c>
      <c r="D77" s="24">
        <v>1</v>
      </c>
      <c r="E77" s="23">
        <v>10</v>
      </c>
      <c r="F77" s="25">
        <v>7500</v>
      </c>
      <c r="G77" s="25">
        <f t="shared" si="52"/>
        <v>75000</v>
      </c>
      <c r="H77" s="268">
        <f t="shared" si="55"/>
        <v>127.15312627153125</v>
      </c>
      <c r="I77" s="642">
        <f t="shared" si="53"/>
        <v>2250</v>
      </c>
      <c r="J77" s="642">
        <f>1600*D77</f>
        <v>1600</v>
      </c>
      <c r="K77" s="642">
        <f t="shared" si="54"/>
        <v>75000</v>
      </c>
      <c r="L77" s="522"/>
      <c r="M77" s="522"/>
      <c r="N77" s="572"/>
      <c r="O77" s="522"/>
    </row>
    <row r="78" spans="1:15" x14ac:dyDescent="0.25">
      <c r="A78" s="22">
        <v>4</v>
      </c>
      <c r="B78" s="26" t="s">
        <v>1365</v>
      </c>
      <c r="C78" s="23" t="s">
        <v>28</v>
      </c>
      <c r="D78" s="24">
        <v>17</v>
      </c>
      <c r="E78" s="23">
        <v>7</v>
      </c>
      <c r="F78" s="25">
        <v>3000</v>
      </c>
      <c r="G78" s="25">
        <f t="shared" si="52"/>
        <v>357000</v>
      </c>
      <c r="H78" s="268">
        <f t="shared" si="55"/>
        <v>605.24888105248874</v>
      </c>
      <c r="I78" s="642">
        <f t="shared" si="53"/>
        <v>10710</v>
      </c>
      <c r="J78" s="642">
        <f>550*D78</f>
        <v>9350</v>
      </c>
      <c r="K78" s="642">
        <f t="shared" si="54"/>
        <v>21000</v>
      </c>
      <c r="L78" s="522"/>
      <c r="M78" s="522"/>
      <c r="N78" s="572"/>
      <c r="O78" s="522"/>
    </row>
    <row r="79" spans="1:15" x14ac:dyDescent="0.25">
      <c r="A79" s="22">
        <v>5</v>
      </c>
      <c r="B79" s="26" t="s">
        <v>1345</v>
      </c>
      <c r="C79" s="23" t="s">
        <v>28</v>
      </c>
      <c r="D79" s="24">
        <v>1</v>
      </c>
      <c r="E79" s="23">
        <v>10</v>
      </c>
      <c r="F79" s="25">
        <v>8000</v>
      </c>
      <c r="G79" s="25">
        <f t="shared" si="52"/>
        <v>80000</v>
      </c>
      <c r="H79" s="268">
        <f t="shared" ref="H79" si="56">G79/589.84</f>
        <v>135.6300013563</v>
      </c>
      <c r="I79" s="642">
        <f t="shared" si="53"/>
        <v>2400</v>
      </c>
      <c r="J79" s="642">
        <f>1600*D79</f>
        <v>1600</v>
      </c>
      <c r="K79" s="642">
        <f t="shared" si="54"/>
        <v>80000</v>
      </c>
      <c r="L79" s="522"/>
      <c r="M79" s="522"/>
      <c r="N79" s="572"/>
      <c r="O79" s="522"/>
    </row>
    <row r="80" spans="1:15" ht="16.5" thickBot="1" x14ac:dyDescent="0.3">
      <c r="A80" s="22">
        <v>6</v>
      </c>
      <c r="B80" s="26" t="s">
        <v>1002</v>
      </c>
      <c r="C80" s="23" t="s">
        <v>28</v>
      </c>
      <c r="D80" s="24">
        <v>1</v>
      </c>
      <c r="E80" s="23">
        <v>10</v>
      </c>
      <c r="F80" s="25">
        <v>8000</v>
      </c>
      <c r="G80" s="25">
        <f t="shared" si="52"/>
        <v>80000</v>
      </c>
      <c r="H80" s="268">
        <f t="shared" si="55"/>
        <v>135.6300013563</v>
      </c>
      <c r="I80" s="642">
        <f t="shared" ref="I80" si="57">G80*0.03</f>
        <v>2400</v>
      </c>
      <c r="J80" s="642">
        <f>1600*D80</f>
        <v>1600</v>
      </c>
      <c r="K80" s="642">
        <f t="shared" ref="K80" si="58">G80/D80</f>
        <v>80000</v>
      </c>
      <c r="L80" s="522"/>
      <c r="M80" s="522"/>
      <c r="N80" s="572"/>
      <c r="O80" s="522"/>
    </row>
    <row r="81" spans="1:15" ht="18.75" thickBot="1" x14ac:dyDescent="0.3">
      <c r="A81" s="341"/>
      <c r="B81" s="257" t="s">
        <v>1399</v>
      </c>
      <c r="C81" s="343"/>
      <c r="D81" s="343"/>
      <c r="E81" s="343"/>
      <c r="F81" s="344"/>
      <c r="G81" s="344">
        <f>SUM(G75:G80)</f>
        <v>952000</v>
      </c>
      <c r="H81" s="345">
        <f>SUM(H75:H80)</f>
        <v>1613.9970161399701</v>
      </c>
      <c r="I81" s="263">
        <f>SUM(I75:I80)</f>
        <v>28560</v>
      </c>
      <c r="J81" s="263">
        <f>SUM(J75:J80)</f>
        <v>22650</v>
      </c>
      <c r="K81" s="642"/>
      <c r="L81" s="522"/>
      <c r="M81" s="522"/>
      <c r="N81" s="572"/>
      <c r="O81" s="522"/>
    </row>
    <row r="82" spans="1:15" ht="16.5" thickBot="1" x14ac:dyDescent="0.3">
      <c r="A82" s="22">
        <v>1</v>
      </c>
      <c r="B82" s="26" t="s">
        <v>1003</v>
      </c>
      <c r="C82" s="23" t="s">
        <v>28</v>
      </c>
      <c r="D82" s="24">
        <v>36</v>
      </c>
      <c r="E82" s="23">
        <v>10</v>
      </c>
      <c r="F82" s="25">
        <v>7500</v>
      </c>
      <c r="G82" s="25">
        <f t="shared" ref="G82:G87" si="59">D82*E82*F82</f>
        <v>2700000</v>
      </c>
      <c r="H82" s="347">
        <f>G82/589.84</f>
        <v>4577.5125457751255</v>
      </c>
      <c r="I82" s="642">
        <f t="shared" ref="I82:I87" si="60">G82*0.03</f>
        <v>81000</v>
      </c>
      <c r="J82" s="642">
        <f>1600*D82</f>
        <v>57600</v>
      </c>
      <c r="K82" s="642">
        <f t="shared" ref="K82:K87" si="61">G82/D82</f>
        <v>75000</v>
      </c>
      <c r="L82" s="522"/>
      <c r="M82" s="522"/>
      <c r="N82" s="572"/>
      <c r="O82" s="522"/>
    </row>
    <row r="83" spans="1:15" x14ac:dyDescent="0.25">
      <c r="A83" s="22">
        <v>2</v>
      </c>
      <c r="B83" s="26" t="s">
        <v>1004</v>
      </c>
      <c r="C83" s="23" t="s">
        <v>28</v>
      </c>
      <c r="D83" s="24">
        <v>18</v>
      </c>
      <c r="E83" s="23">
        <v>10</v>
      </c>
      <c r="F83" s="25">
        <v>3000</v>
      </c>
      <c r="G83" s="25">
        <f t="shared" si="59"/>
        <v>540000</v>
      </c>
      <c r="H83" s="268">
        <f t="shared" ref="H83:H87" si="62">G83/589.84</f>
        <v>915.502509155025</v>
      </c>
      <c r="I83" s="642">
        <f t="shared" si="60"/>
        <v>16200</v>
      </c>
      <c r="J83" s="642">
        <f>1050*D83</f>
        <v>18900</v>
      </c>
      <c r="K83" s="642">
        <f t="shared" si="61"/>
        <v>30000</v>
      </c>
      <c r="L83" s="522"/>
      <c r="M83" s="522"/>
      <c r="N83" s="572"/>
      <c r="O83" s="522"/>
    </row>
    <row r="84" spans="1:15" x14ac:dyDescent="0.25">
      <c r="A84" s="22">
        <v>3</v>
      </c>
      <c r="B84" s="26" t="s">
        <v>1005</v>
      </c>
      <c r="C84" s="23" t="s">
        <v>28</v>
      </c>
      <c r="D84" s="24">
        <v>1</v>
      </c>
      <c r="E84" s="23">
        <v>10</v>
      </c>
      <c r="F84" s="25">
        <v>7500</v>
      </c>
      <c r="G84" s="25">
        <f t="shared" si="59"/>
        <v>75000</v>
      </c>
      <c r="H84" s="268">
        <f t="shared" si="62"/>
        <v>127.15312627153125</v>
      </c>
      <c r="I84" s="642">
        <f t="shared" si="60"/>
        <v>2250</v>
      </c>
      <c r="J84" s="642">
        <f>1600*D84</f>
        <v>1600</v>
      </c>
      <c r="K84" s="642">
        <f t="shared" si="61"/>
        <v>75000</v>
      </c>
      <c r="L84" s="522"/>
      <c r="M84" s="522"/>
      <c r="N84" s="572"/>
      <c r="O84" s="522"/>
    </row>
    <row r="85" spans="1:15" x14ac:dyDescent="0.25">
      <c r="A85" s="22">
        <v>4</v>
      </c>
      <c r="B85" s="26" t="s">
        <v>1365</v>
      </c>
      <c r="C85" s="23" t="s">
        <v>28</v>
      </c>
      <c r="D85" s="24">
        <v>90</v>
      </c>
      <c r="E85" s="23">
        <v>7</v>
      </c>
      <c r="F85" s="25">
        <v>3000</v>
      </c>
      <c r="G85" s="25">
        <f t="shared" si="59"/>
        <v>1890000</v>
      </c>
      <c r="H85" s="268">
        <f t="shared" si="62"/>
        <v>3204.2587820425874</v>
      </c>
      <c r="I85" s="642">
        <f t="shared" si="60"/>
        <v>56700</v>
      </c>
      <c r="J85" s="642">
        <f>550*D85</f>
        <v>49500</v>
      </c>
      <c r="K85" s="642">
        <f t="shared" si="61"/>
        <v>21000</v>
      </c>
      <c r="L85" s="522"/>
      <c r="M85" s="522"/>
      <c r="N85" s="572"/>
      <c r="O85" s="522"/>
    </row>
    <row r="86" spans="1:15" x14ac:dyDescent="0.25">
      <c r="A86" s="22">
        <v>5</v>
      </c>
      <c r="B86" s="26" t="s">
        <v>1345</v>
      </c>
      <c r="C86" s="23" t="s">
        <v>28</v>
      </c>
      <c r="D86" s="24">
        <v>1</v>
      </c>
      <c r="E86" s="23">
        <v>10</v>
      </c>
      <c r="F86" s="25">
        <v>8000</v>
      </c>
      <c r="G86" s="25">
        <f t="shared" si="59"/>
        <v>80000</v>
      </c>
      <c r="H86" s="268">
        <f t="shared" ref="H86" si="63">G86/589.84</f>
        <v>135.6300013563</v>
      </c>
      <c r="I86" s="642">
        <f t="shared" si="60"/>
        <v>2400</v>
      </c>
      <c r="J86" s="642">
        <f>1600*D86</f>
        <v>1600</v>
      </c>
      <c r="K86" s="642">
        <f t="shared" si="61"/>
        <v>80000</v>
      </c>
      <c r="L86" s="522"/>
      <c r="M86" s="522"/>
      <c r="N86" s="572"/>
      <c r="O86" s="522"/>
    </row>
    <row r="87" spans="1:15" ht="16.5" thickBot="1" x14ac:dyDescent="0.3">
      <c r="A87" s="22">
        <v>6</v>
      </c>
      <c r="B87" s="26" t="s">
        <v>1006</v>
      </c>
      <c r="C87" s="23" t="s">
        <v>28</v>
      </c>
      <c r="D87" s="24">
        <v>5</v>
      </c>
      <c r="E87" s="23">
        <v>10</v>
      </c>
      <c r="F87" s="25">
        <v>8000</v>
      </c>
      <c r="G87" s="25">
        <f t="shared" si="59"/>
        <v>400000</v>
      </c>
      <c r="H87" s="268">
        <f t="shared" si="62"/>
        <v>678.1500067815</v>
      </c>
      <c r="I87" s="642">
        <f t="shared" si="60"/>
        <v>12000</v>
      </c>
      <c r="J87" s="642">
        <f>1600*D87</f>
        <v>8000</v>
      </c>
      <c r="K87" s="642">
        <f t="shared" si="61"/>
        <v>80000</v>
      </c>
      <c r="L87" s="522"/>
      <c r="M87" s="522"/>
      <c r="N87" s="572"/>
      <c r="O87" s="522"/>
    </row>
    <row r="88" spans="1:15" ht="18.75" thickBot="1" x14ac:dyDescent="0.3">
      <c r="A88" s="341"/>
      <c r="B88" s="257" t="s">
        <v>1399</v>
      </c>
      <c r="C88" s="343"/>
      <c r="D88" s="343"/>
      <c r="E88" s="343"/>
      <c r="F88" s="344"/>
      <c r="G88" s="344">
        <f>SUM(G82:G87)</f>
        <v>5685000</v>
      </c>
      <c r="H88" s="345">
        <f>SUM(H82:H87)</f>
        <v>9638.2069713820692</v>
      </c>
      <c r="I88" s="263">
        <f>SUM(I82:I87)</f>
        <v>170550</v>
      </c>
      <c r="J88" s="263">
        <f>SUM(J82:J87)</f>
        <v>137200</v>
      </c>
      <c r="K88" s="642"/>
      <c r="L88" s="522"/>
      <c r="M88" s="522"/>
      <c r="N88" s="572"/>
      <c r="O88" s="522"/>
    </row>
    <row r="89" spans="1:15" ht="16.5" thickBot="1" x14ac:dyDescent="0.3">
      <c r="A89" s="22">
        <v>1</v>
      </c>
      <c r="B89" s="26" t="s">
        <v>1007</v>
      </c>
      <c r="C89" s="23" t="s">
        <v>28</v>
      </c>
      <c r="D89" s="24">
        <v>2</v>
      </c>
      <c r="E89" s="23">
        <v>10</v>
      </c>
      <c r="F89" s="25">
        <v>7500</v>
      </c>
      <c r="G89" s="25">
        <f t="shared" ref="G89:G94" si="64">D89*E89*F89</f>
        <v>150000</v>
      </c>
      <c r="H89" s="347">
        <f>G89/589.84</f>
        <v>254.3062525430625</v>
      </c>
      <c r="I89" s="642">
        <f t="shared" ref="I89:I94" si="65">G89*0.03</f>
        <v>4500</v>
      </c>
      <c r="J89" s="642">
        <f>1600*D89</f>
        <v>3200</v>
      </c>
      <c r="K89" s="642">
        <f t="shared" ref="K89:K94" si="66">G89/D89</f>
        <v>75000</v>
      </c>
      <c r="L89" s="522"/>
      <c r="M89" s="522"/>
      <c r="N89" s="572"/>
      <c r="O89" s="522"/>
    </row>
    <row r="90" spans="1:15" x14ac:dyDescent="0.25">
      <c r="A90" s="22">
        <v>2</v>
      </c>
      <c r="B90" s="26" t="s">
        <v>1008</v>
      </c>
      <c r="C90" s="23" t="s">
        <v>28</v>
      </c>
      <c r="D90" s="24">
        <v>1</v>
      </c>
      <c r="E90" s="23">
        <v>10</v>
      </c>
      <c r="F90" s="25">
        <v>3000</v>
      </c>
      <c r="G90" s="25">
        <f t="shared" si="64"/>
        <v>30000</v>
      </c>
      <c r="H90" s="268">
        <f t="shared" ref="H90:H94" si="67">G90/589.84</f>
        <v>50.8612505086125</v>
      </c>
      <c r="I90" s="642">
        <f t="shared" si="65"/>
        <v>900</v>
      </c>
      <c r="J90" s="642">
        <f>1050*D90</f>
        <v>1050</v>
      </c>
      <c r="K90" s="642">
        <f t="shared" si="66"/>
        <v>30000</v>
      </c>
      <c r="L90" s="522"/>
      <c r="M90" s="522"/>
      <c r="N90" s="572"/>
      <c r="O90" s="522"/>
    </row>
    <row r="91" spans="1:15" x14ac:dyDescent="0.25">
      <c r="A91" s="22">
        <v>3</v>
      </c>
      <c r="B91" s="26" t="s">
        <v>1009</v>
      </c>
      <c r="C91" s="23" t="s">
        <v>28</v>
      </c>
      <c r="D91" s="24">
        <v>1</v>
      </c>
      <c r="E91" s="23">
        <v>10</v>
      </c>
      <c r="F91" s="25">
        <v>7500</v>
      </c>
      <c r="G91" s="25">
        <f t="shared" si="64"/>
        <v>75000</v>
      </c>
      <c r="H91" s="268">
        <f t="shared" si="67"/>
        <v>127.15312627153125</v>
      </c>
      <c r="I91" s="642">
        <f t="shared" si="65"/>
        <v>2250</v>
      </c>
      <c r="J91" s="642">
        <f>1600*D91</f>
        <v>1600</v>
      </c>
      <c r="K91" s="642">
        <f t="shared" si="66"/>
        <v>75000</v>
      </c>
      <c r="L91" s="522"/>
      <c r="M91" s="522"/>
      <c r="N91" s="572"/>
      <c r="O91" s="522"/>
    </row>
    <row r="92" spans="1:15" x14ac:dyDescent="0.25">
      <c r="A92" s="22">
        <v>4</v>
      </c>
      <c r="B92" s="26" t="s">
        <v>1365</v>
      </c>
      <c r="C92" s="23" t="s">
        <v>28</v>
      </c>
      <c r="D92" s="24">
        <v>8</v>
      </c>
      <c r="E92" s="23">
        <v>7</v>
      </c>
      <c r="F92" s="25">
        <v>3000</v>
      </c>
      <c r="G92" s="25">
        <f t="shared" si="64"/>
        <v>168000</v>
      </c>
      <c r="H92" s="268">
        <f t="shared" si="67"/>
        <v>284.82300284823003</v>
      </c>
      <c r="I92" s="642">
        <f t="shared" si="65"/>
        <v>5040</v>
      </c>
      <c r="J92" s="642">
        <f>550*D92</f>
        <v>4400</v>
      </c>
      <c r="K92" s="642">
        <f t="shared" si="66"/>
        <v>21000</v>
      </c>
      <c r="L92" s="522"/>
      <c r="M92" s="522"/>
      <c r="N92" s="572"/>
      <c r="O92" s="522"/>
    </row>
    <row r="93" spans="1:15" x14ac:dyDescent="0.25">
      <c r="A93" s="22">
        <v>5</v>
      </c>
      <c r="B93" s="26" t="s">
        <v>1345</v>
      </c>
      <c r="C93" s="23" t="s">
        <v>28</v>
      </c>
      <c r="D93" s="24">
        <v>1</v>
      </c>
      <c r="E93" s="23">
        <v>10</v>
      </c>
      <c r="F93" s="25">
        <v>8000</v>
      </c>
      <c r="G93" s="25">
        <f t="shared" si="64"/>
        <v>80000</v>
      </c>
      <c r="H93" s="268">
        <f t="shared" ref="H93" si="68">G93/589.84</f>
        <v>135.6300013563</v>
      </c>
      <c r="I93" s="642">
        <f t="shared" si="65"/>
        <v>2400</v>
      </c>
      <c r="J93" s="642">
        <f>1600*D93</f>
        <v>1600</v>
      </c>
      <c r="K93" s="642">
        <f t="shared" si="66"/>
        <v>80000</v>
      </c>
      <c r="L93" s="522"/>
      <c r="M93" s="522"/>
      <c r="N93" s="572"/>
      <c r="O93" s="522"/>
    </row>
    <row r="94" spans="1:15" ht="16.5" thickBot="1" x14ac:dyDescent="0.3">
      <c r="A94" s="22">
        <v>6</v>
      </c>
      <c r="B94" s="26" t="s">
        <v>1010</v>
      </c>
      <c r="C94" s="23" t="s">
        <v>28</v>
      </c>
      <c r="D94" s="24">
        <v>1</v>
      </c>
      <c r="E94" s="23">
        <v>10</v>
      </c>
      <c r="F94" s="25">
        <v>8000</v>
      </c>
      <c r="G94" s="25">
        <f t="shared" si="64"/>
        <v>80000</v>
      </c>
      <c r="H94" s="268">
        <f t="shared" si="67"/>
        <v>135.6300013563</v>
      </c>
      <c r="I94" s="642">
        <f t="shared" si="65"/>
        <v>2400</v>
      </c>
      <c r="J94" s="642">
        <f>1600*D94</f>
        <v>1600</v>
      </c>
      <c r="K94" s="642">
        <f t="shared" si="66"/>
        <v>80000</v>
      </c>
      <c r="L94" s="522"/>
      <c r="M94" s="522"/>
      <c r="N94" s="572"/>
      <c r="O94" s="522"/>
    </row>
    <row r="95" spans="1:15" ht="18.75" thickBot="1" x14ac:dyDescent="0.3">
      <c r="A95" s="341"/>
      <c r="B95" s="257" t="s">
        <v>1399</v>
      </c>
      <c r="C95" s="343"/>
      <c r="D95" s="343"/>
      <c r="E95" s="343"/>
      <c r="F95" s="344"/>
      <c r="G95" s="344">
        <f>SUM(G89:G94)</f>
        <v>583000</v>
      </c>
      <c r="H95" s="345">
        <f>SUM(H89:H94)</f>
        <v>988.40363488403636</v>
      </c>
      <c r="I95" s="263">
        <f>SUM(I89:I94)</f>
        <v>17490</v>
      </c>
      <c r="J95" s="263">
        <f>SUM(J89:J94)</f>
        <v>13450</v>
      </c>
      <c r="K95" s="642"/>
      <c r="L95" s="522"/>
      <c r="M95" s="522"/>
      <c r="N95" s="572"/>
      <c r="O95" s="522"/>
    </row>
    <row r="96" spans="1:15" ht="16.5" thickBot="1" x14ac:dyDescent="0.3">
      <c r="A96" s="22">
        <v>1</v>
      </c>
      <c r="B96" s="26" t="s">
        <v>1011</v>
      </c>
      <c r="C96" s="23" t="s">
        <v>28</v>
      </c>
      <c r="D96" s="24">
        <v>10</v>
      </c>
      <c r="E96" s="23">
        <v>10</v>
      </c>
      <c r="F96" s="25">
        <v>7500</v>
      </c>
      <c r="G96" s="25">
        <f t="shared" ref="G96:G101" si="69">D96*E96*F96</f>
        <v>750000</v>
      </c>
      <c r="H96" s="347">
        <f>G96/589.84</f>
        <v>1271.5312627153126</v>
      </c>
      <c r="I96" s="642">
        <f t="shared" ref="I96:I101" si="70">G96*0.03</f>
        <v>22500</v>
      </c>
      <c r="J96" s="642">
        <f>1600*D96</f>
        <v>16000</v>
      </c>
      <c r="K96" s="642">
        <f t="shared" ref="K96:K100" si="71">G96/D96</f>
        <v>75000</v>
      </c>
      <c r="L96" s="522"/>
      <c r="M96" s="522"/>
      <c r="N96" s="572"/>
      <c r="O96" s="522"/>
    </row>
    <row r="97" spans="1:15" x14ac:dyDescent="0.25">
      <c r="A97" s="22">
        <v>2</v>
      </c>
      <c r="B97" s="26" t="s">
        <v>1012</v>
      </c>
      <c r="C97" s="23" t="s">
        <v>28</v>
      </c>
      <c r="D97" s="24">
        <v>5</v>
      </c>
      <c r="E97" s="23">
        <v>10</v>
      </c>
      <c r="F97" s="25">
        <v>3000</v>
      </c>
      <c r="G97" s="25">
        <f t="shared" si="69"/>
        <v>150000</v>
      </c>
      <c r="H97" s="268">
        <f t="shared" ref="H97:H101" si="72">G97/589.84</f>
        <v>254.3062525430625</v>
      </c>
      <c r="I97" s="642">
        <f t="shared" si="70"/>
        <v>4500</v>
      </c>
      <c r="J97" s="642">
        <f>1050*D97</f>
        <v>5250</v>
      </c>
      <c r="K97" s="642">
        <f t="shared" si="71"/>
        <v>30000</v>
      </c>
      <c r="L97" s="522"/>
      <c r="M97" s="522"/>
      <c r="N97" s="572"/>
      <c r="O97" s="522"/>
    </row>
    <row r="98" spans="1:15" x14ac:dyDescent="0.25">
      <c r="A98" s="22">
        <v>3</v>
      </c>
      <c r="B98" s="26" t="s">
        <v>1013</v>
      </c>
      <c r="C98" s="23" t="s">
        <v>28</v>
      </c>
      <c r="D98" s="24">
        <v>1</v>
      </c>
      <c r="E98" s="23">
        <v>10</v>
      </c>
      <c r="F98" s="25">
        <v>7500</v>
      </c>
      <c r="G98" s="25">
        <f t="shared" si="69"/>
        <v>75000</v>
      </c>
      <c r="H98" s="268">
        <f t="shared" si="72"/>
        <v>127.15312627153125</v>
      </c>
      <c r="I98" s="642">
        <f t="shared" si="70"/>
        <v>2250</v>
      </c>
      <c r="J98" s="642">
        <f>1600*D98</f>
        <v>1600</v>
      </c>
      <c r="K98" s="642">
        <f t="shared" si="71"/>
        <v>75000</v>
      </c>
      <c r="L98" s="522"/>
      <c r="M98" s="522"/>
      <c r="N98" s="572"/>
      <c r="O98" s="522"/>
    </row>
    <row r="99" spans="1:15" x14ac:dyDescent="0.25">
      <c r="A99" s="22">
        <v>4</v>
      </c>
      <c r="B99" s="26" t="s">
        <v>1365</v>
      </c>
      <c r="C99" s="23" t="s">
        <v>28</v>
      </c>
      <c r="D99" s="24">
        <v>18</v>
      </c>
      <c r="E99" s="23">
        <v>7</v>
      </c>
      <c r="F99" s="25">
        <v>3000</v>
      </c>
      <c r="G99" s="25">
        <f t="shared" si="69"/>
        <v>378000</v>
      </c>
      <c r="H99" s="268">
        <f t="shared" si="72"/>
        <v>640.85175640851753</v>
      </c>
      <c r="I99" s="642">
        <f t="shared" si="70"/>
        <v>11340</v>
      </c>
      <c r="J99" s="642">
        <f>550*D99</f>
        <v>9900</v>
      </c>
      <c r="K99" s="642">
        <f t="shared" si="71"/>
        <v>21000</v>
      </c>
      <c r="L99" s="522"/>
      <c r="M99" s="522"/>
      <c r="N99" s="572"/>
      <c r="O99" s="522"/>
    </row>
    <row r="100" spans="1:15" x14ac:dyDescent="0.25">
      <c r="A100" s="22">
        <v>5</v>
      </c>
      <c r="B100" s="26" t="s">
        <v>1345</v>
      </c>
      <c r="C100" s="23" t="s">
        <v>28</v>
      </c>
      <c r="D100" s="24">
        <v>1</v>
      </c>
      <c r="E100" s="23">
        <v>10</v>
      </c>
      <c r="F100" s="25">
        <v>8000</v>
      </c>
      <c r="G100" s="25">
        <f t="shared" si="69"/>
        <v>80000</v>
      </c>
      <c r="H100" s="268">
        <f t="shared" ref="H100" si="73">G100/589.84</f>
        <v>135.6300013563</v>
      </c>
      <c r="I100" s="642">
        <f t="shared" si="70"/>
        <v>2400</v>
      </c>
      <c r="J100" s="642">
        <f>1600*D100</f>
        <v>1600</v>
      </c>
      <c r="K100" s="642">
        <f t="shared" si="71"/>
        <v>80000</v>
      </c>
      <c r="L100" s="522"/>
      <c r="M100" s="522"/>
      <c r="N100" s="572"/>
      <c r="O100" s="522"/>
    </row>
    <row r="101" spans="1:15" ht="16.5" thickBot="1" x14ac:dyDescent="0.3">
      <c r="A101" s="22">
        <v>6</v>
      </c>
      <c r="B101" s="26" t="s">
        <v>1014</v>
      </c>
      <c r="C101" s="23" t="s">
        <v>28</v>
      </c>
      <c r="D101" s="24">
        <v>2</v>
      </c>
      <c r="E101" s="23">
        <v>10</v>
      </c>
      <c r="F101" s="25">
        <v>8000</v>
      </c>
      <c r="G101" s="25">
        <f t="shared" si="69"/>
        <v>160000</v>
      </c>
      <c r="H101" s="268">
        <f t="shared" si="72"/>
        <v>271.2600027126</v>
      </c>
      <c r="I101" s="642">
        <f t="shared" si="70"/>
        <v>4800</v>
      </c>
      <c r="J101" s="642">
        <f>1600*D101</f>
        <v>3200</v>
      </c>
      <c r="K101" s="642">
        <f t="shared" ref="K101" si="74">G101/D101</f>
        <v>80000</v>
      </c>
      <c r="L101" s="522"/>
      <c r="M101" s="522"/>
      <c r="N101" s="572"/>
      <c r="O101" s="522"/>
    </row>
    <row r="102" spans="1:15" ht="18.75" thickBot="1" x14ac:dyDescent="0.3">
      <c r="A102" s="341"/>
      <c r="B102" s="257" t="s">
        <v>1399</v>
      </c>
      <c r="C102" s="343"/>
      <c r="D102" s="343"/>
      <c r="E102" s="343"/>
      <c r="F102" s="344"/>
      <c r="G102" s="344">
        <f>SUM(G96:G101)</f>
        <v>1593000</v>
      </c>
      <c r="H102" s="345">
        <f>SUM(H96:H101)</f>
        <v>2700.7324020073238</v>
      </c>
      <c r="I102" s="263">
        <f>SUM(I96:I101)</f>
        <v>47790</v>
      </c>
      <c r="J102" s="263">
        <f>SUM(J96:J101)</f>
        <v>37550</v>
      </c>
      <c r="K102" s="642"/>
      <c r="L102" s="522"/>
      <c r="M102" s="522"/>
      <c r="N102" s="572"/>
      <c r="O102" s="522"/>
    </row>
    <row r="103" spans="1:15" ht="16.5" thickBot="1" x14ac:dyDescent="0.3">
      <c r="A103" s="22">
        <v>1</v>
      </c>
      <c r="B103" s="26" t="s">
        <v>1015</v>
      </c>
      <c r="C103" s="23" t="s">
        <v>28</v>
      </c>
      <c r="D103" s="24">
        <v>8</v>
      </c>
      <c r="E103" s="23">
        <v>10</v>
      </c>
      <c r="F103" s="25">
        <v>7500</v>
      </c>
      <c r="G103" s="25">
        <f t="shared" ref="G103:G108" si="75">D103*E103*F103</f>
        <v>600000</v>
      </c>
      <c r="H103" s="347">
        <f>G103/589.84</f>
        <v>1017.22501017225</v>
      </c>
      <c r="I103" s="642">
        <f t="shared" ref="I103:I108" si="76">G103*0.03</f>
        <v>18000</v>
      </c>
      <c r="J103" s="642">
        <f>1600*D103</f>
        <v>12800</v>
      </c>
      <c r="K103" s="642">
        <f t="shared" ref="K103:K108" si="77">G103/D103</f>
        <v>75000</v>
      </c>
      <c r="L103" s="522"/>
      <c r="M103" s="522"/>
      <c r="N103" s="572"/>
      <c r="O103" s="522"/>
    </row>
    <row r="104" spans="1:15" x14ac:dyDescent="0.25">
      <c r="A104" s="22">
        <v>2</v>
      </c>
      <c r="B104" s="26" t="s">
        <v>1016</v>
      </c>
      <c r="C104" s="23" t="s">
        <v>28</v>
      </c>
      <c r="D104" s="24">
        <v>4</v>
      </c>
      <c r="E104" s="23">
        <v>10</v>
      </c>
      <c r="F104" s="25">
        <v>3000</v>
      </c>
      <c r="G104" s="25">
        <f t="shared" si="75"/>
        <v>120000</v>
      </c>
      <c r="H104" s="268">
        <f t="shared" ref="H104:H108" si="78">G104/589.84</f>
        <v>203.44500203445</v>
      </c>
      <c r="I104" s="642">
        <f t="shared" si="76"/>
        <v>3600</v>
      </c>
      <c r="J104" s="642">
        <f>1050*D104</f>
        <v>4200</v>
      </c>
      <c r="K104" s="642">
        <f t="shared" si="77"/>
        <v>30000</v>
      </c>
      <c r="L104" s="522"/>
      <c r="M104" s="522"/>
      <c r="N104" s="572"/>
      <c r="O104" s="522"/>
    </row>
    <row r="105" spans="1:15" x14ac:dyDescent="0.25">
      <c r="A105" s="22">
        <v>3</v>
      </c>
      <c r="B105" s="26" t="s">
        <v>1017</v>
      </c>
      <c r="C105" s="23" t="s">
        <v>28</v>
      </c>
      <c r="D105" s="24">
        <v>1</v>
      </c>
      <c r="E105" s="23">
        <v>10</v>
      </c>
      <c r="F105" s="25">
        <v>7500</v>
      </c>
      <c r="G105" s="25">
        <f t="shared" si="75"/>
        <v>75000</v>
      </c>
      <c r="H105" s="268">
        <f t="shared" si="78"/>
        <v>127.15312627153125</v>
      </c>
      <c r="I105" s="642">
        <f t="shared" si="76"/>
        <v>2250</v>
      </c>
      <c r="J105" s="642">
        <f>1600*D105</f>
        <v>1600</v>
      </c>
      <c r="K105" s="642">
        <f t="shared" si="77"/>
        <v>75000</v>
      </c>
      <c r="L105" s="522"/>
      <c r="M105" s="522"/>
      <c r="N105" s="572"/>
      <c r="O105" s="522"/>
    </row>
    <row r="106" spans="1:15" x14ac:dyDescent="0.25">
      <c r="A106" s="22">
        <v>4</v>
      </c>
      <c r="B106" s="26" t="s">
        <v>1365</v>
      </c>
      <c r="C106" s="23" t="s">
        <v>28</v>
      </c>
      <c r="D106" s="24">
        <v>23</v>
      </c>
      <c r="E106" s="23">
        <v>7</v>
      </c>
      <c r="F106" s="25">
        <v>3000</v>
      </c>
      <c r="G106" s="25">
        <f t="shared" si="75"/>
        <v>483000</v>
      </c>
      <c r="H106" s="268">
        <f t="shared" si="78"/>
        <v>818.86613318866125</v>
      </c>
      <c r="I106" s="642">
        <f t="shared" si="76"/>
        <v>14490</v>
      </c>
      <c r="J106" s="642">
        <f>550*D106</f>
        <v>12650</v>
      </c>
      <c r="K106" s="642">
        <f t="shared" si="77"/>
        <v>21000</v>
      </c>
      <c r="L106" s="522"/>
      <c r="M106" s="522"/>
      <c r="N106" s="572"/>
      <c r="O106" s="522"/>
    </row>
    <row r="107" spans="1:15" x14ac:dyDescent="0.25">
      <c r="A107" s="22">
        <v>5</v>
      </c>
      <c r="B107" s="26" t="s">
        <v>1345</v>
      </c>
      <c r="C107" s="23" t="s">
        <v>28</v>
      </c>
      <c r="D107" s="24">
        <v>1</v>
      </c>
      <c r="E107" s="23">
        <v>10</v>
      </c>
      <c r="F107" s="25">
        <v>8000</v>
      </c>
      <c r="G107" s="25">
        <f t="shared" si="75"/>
        <v>80000</v>
      </c>
      <c r="H107" s="268">
        <f t="shared" si="78"/>
        <v>135.6300013563</v>
      </c>
      <c r="I107" s="642">
        <f t="shared" si="76"/>
        <v>2400</v>
      </c>
      <c r="J107" s="642">
        <f>1600*D107</f>
        <v>1600</v>
      </c>
      <c r="K107" s="642">
        <f t="shared" si="77"/>
        <v>80000</v>
      </c>
      <c r="L107" s="522"/>
      <c r="M107" s="522"/>
      <c r="N107" s="572"/>
      <c r="O107" s="522"/>
    </row>
    <row r="108" spans="1:15" ht="16.5" thickBot="1" x14ac:dyDescent="0.3">
      <c r="A108" s="22">
        <v>6</v>
      </c>
      <c r="B108" s="26" t="s">
        <v>1018</v>
      </c>
      <c r="C108" s="23" t="s">
        <v>28</v>
      </c>
      <c r="D108" s="24">
        <v>1</v>
      </c>
      <c r="E108" s="23">
        <v>10</v>
      </c>
      <c r="F108" s="25">
        <v>8000</v>
      </c>
      <c r="G108" s="25">
        <f t="shared" si="75"/>
        <v>80000</v>
      </c>
      <c r="H108" s="268">
        <f t="shared" si="78"/>
        <v>135.6300013563</v>
      </c>
      <c r="I108" s="642">
        <f t="shared" si="76"/>
        <v>2400</v>
      </c>
      <c r="J108" s="642">
        <f>1600*D108</f>
        <v>1600</v>
      </c>
      <c r="K108" s="642">
        <f t="shared" si="77"/>
        <v>80000</v>
      </c>
      <c r="L108" s="522"/>
      <c r="M108" s="522"/>
      <c r="N108" s="572"/>
      <c r="O108" s="522"/>
    </row>
    <row r="109" spans="1:15" ht="18.75" thickBot="1" x14ac:dyDescent="0.3">
      <c r="A109" s="341"/>
      <c r="B109" s="257" t="s">
        <v>1399</v>
      </c>
      <c r="C109" s="343"/>
      <c r="D109" s="343"/>
      <c r="E109" s="343"/>
      <c r="F109" s="344"/>
      <c r="G109" s="344">
        <f>SUM(G103:G108)</f>
        <v>1438000</v>
      </c>
      <c r="H109" s="345">
        <f>SUM(H103:H108)</f>
        <v>2437.9492743794926</v>
      </c>
      <c r="I109" s="263">
        <f>SUM(I103:I108)</f>
        <v>43140</v>
      </c>
      <c r="J109" s="263">
        <f>SUM(J103:J108)</f>
        <v>34450</v>
      </c>
      <c r="K109" s="642"/>
      <c r="L109" s="522"/>
      <c r="M109" s="522"/>
      <c r="N109" s="572"/>
      <c r="O109" s="522"/>
    </row>
    <row r="110" spans="1:15" ht="16.5" thickBot="1" x14ac:dyDescent="0.3">
      <c r="A110" s="188">
        <v>1</v>
      </c>
      <c r="B110" s="189" t="s">
        <v>1019</v>
      </c>
      <c r="C110" s="225" t="s">
        <v>28</v>
      </c>
      <c r="D110" s="228">
        <v>10</v>
      </c>
      <c r="E110" s="23">
        <v>10</v>
      </c>
      <c r="F110" s="227">
        <v>7500</v>
      </c>
      <c r="G110" s="227">
        <f t="shared" ref="G110:G115" si="79">D110*E110*F110</f>
        <v>750000</v>
      </c>
      <c r="H110" s="347">
        <f>G110/589.84</f>
        <v>1271.5312627153126</v>
      </c>
      <c r="I110" s="642">
        <f t="shared" ref="I110:I115" si="80">G110*0.03</f>
        <v>22500</v>
      </c>
      <c r="J110" s="642">
        <f>1600*D110</f>
        <v>16000</v>
      </c>
      <c r="K110" s="642">
        <f t="shared" ref="K110:K115" si="81">G110/D110</f>
        <v>75000</v>
      </c>
      <c r="L110" s="522"/>
      <c r="M110" s="522"/>
      <c r="N110" s="572"/>
      <c r="O110" s="522"/>
    </row>
    <row r="111" spans="1:15" x14ac:dyDescent="0.25">
      <c r="A111" s="188">
        <v>2</v>
      </c>
      <c r="B111" s="189" t="s">
        <v>1020</v>
      </c>
      <c r="C111" s="225" t="s">
        <v>28</v>
      </c>
      <c r="D111" s="228">
        <v>5</v>
      </c>
      <c r="E111" s="23">
        <v>10</v>
      </c>
      <c r="F111" s="227">
        <v>3000</v>
      </c>
      <c r="G111" s="227">
        <f t="shared" si="79"/>
        <v>150000</v>
      </c>
      <c r="H111" s="268">
        <f t="shared" ref="H111:H115" si="82">G111/589.84</f>
        <v>254.3062525430625</v>
      </c>
      <c r="I111" s="642">
        <f t="shared" si="80"/>
        <v>4500</v>
      </c>
      <c r="J111" s="642">
        <f>1050*D111</f>
        <v>5250</v>
      </c>
      <c r="K111" s="642">
        <f t="shared" si="81"/>
        <v>30000</v>
      </c>
      <c r="L111" s="522"/>
      <c r="M111" s="522"/>
      <c r="N111" s="572"/>
      <c r="O111" s="522"/>
    </row>
    <row r="112" spans="1:15" x14ac:dyDescent="0.25">
      <c r="A112" s="188">
        <v>3</v>
      </c>
      <c r="B112" s="189" t="s">
        <v>1021</v>
      </c>
      <c r="C112" s="225" t="s">
        <v>28</v>
      </c>
      <c r="D112" s="228">
        <v>1</v>
      </c>
      <c r="E112" s="23">
        <v>10</v>
      </c>
      <c r="F112" s="227">
        <v>7500</v>
      </c>
      <c r="G112" s="227">
        <f t="shared" si="79"/>
        <v>75000</v>
      </c>
      <c r="H112" s="268">
        <f t="shared" si="82"/>
        <v>127.15312627153125</v>
      </c>
      <c r="I112" s="642">
        <f t="shared" si="80"/>
        <v>2250</v>
      </c>
      <c r="J112" s="642">
        <f>1600*D112</f>
        <v>1600</v>
      </c>
      <c r="K112" s="642">
        <f t="shared" si="81"/>
        <v>75000</v>
      </c>
      <c r="L112" s="522"/>
      <c r="M112" s="522"/>
      <c r="N112" s="572"/>
      <c r="O112" s="522"/>
    </row>
    <row r="113" spans="1:15" x14ac:dyDescent="0.25">
      <c r="A113" s="188">
        <v>4</v>
      </c>
      <c r="B113" s="26" t="s">
        <v>1365</v>
      </c>
      <c r="C113" s="23" t="s">
        <v>28</v>
      </c>
      <c r="D113" s="24">
        <v>21</v>
      </c>
      <c r="E113" s="23">
        <v>7</v>
      </c>
      <c r="F113" s="25">
        <v>3000</v>
      </c>
      <c r="G113" s="227">
        <f t="shared" si="79"/>
        <v>441000</v>
      </c>
      <c r="H113" s="268">
        <f t="shared" si="82"/>
        <v>747.66038247660379</v>
      </c>
      <c r="I113" s="642">
        <f t="shared" si="80"/>
        <v>13230</v>
      </c>
      <c r="J113" s="642">
        <f>550*D113</f>
        <v>11550</v>
      </c>
      <c r="K113" s="642">
        <f t="shared" si="81"/>
        <v>21000</v>
      </c>
      <c r="L113" s="522"/>
      <c r="M113" s="522"/>
      <c r="N113" s="572"/>
      <c r="O113" s="522"/>
    </row>
    <row r="114" spans="1:15" x14ac:dyDescent="0.25">
      <c r="A114" s="188">
        <v>5</v>
      </c>
      <c r="B114" s="26" t="s">
        <v>1345</v>
      </c>
      <c r="C114" s="225" t="s">
        <v>28</v>
      </c>
      <c r="D114" s="228">
        <v>1</v>
      </c>
      <c r="E114" s="23">
        <v>10</v>
      </c>
      <c r="F114" s="25">
        <v>8000</v>
      </c>
      <c r="G114" s="227">
        <f t="shared" si="79"/>
        <v>80000</v>
      </c>
      <c r="H114" s="268">
        <f t="shared" ref="H114" si="83">G114/589.84</f>
        <v>135.6300013563</v>
      </c>
      <c r="I114" s="642">
        <f t="shared" si="80"/>
        <v>2400</v>
      </c>
      <c r="J114" s="642">
        <f>1600*D114</f>
        <v>1600</v>
      </c>
      <c r="K114" s="642">
        <f t="shared" si="81"/>
        <v>80000</v>
      </c>
      <c r="L114" s="522"/>
      <c r="M114" s="522"/>
      <c r="N114" s="572"/>
      <c r="O114" s="522"/>
    </row>
    <row r="115" spans="1:15" ht="16.5" thickBot="1" x14ac:dyDescent="0.3">
      <c r="A115" s="188">
        <v>6</v>
      </c>
      <c r="B115" s="189" t="s">
        <v>1022</v>
      </c>
      <c r="C115" s="225" t="s">
        <v>28</v>
      </c>
      <c r="D115" s="228">
        <v>1</v>
      </c>
      <c r="E115" s="23">
        <v>10</v>
      </c>
      <c r="F115" s="227">
        <v>8000</v>
      </c>
      <c r="G115" s="227">
        <f t="shared" si="79"/>
        <v>80000</v>
      </c>
      <c r="H115" s="268">
        <f t="shared" si="82"/>
        <v>135.6300013563</v>
      </c>
      <c r="I115" s="642">
        <f t="shared" si="80"/>
        <v>2400</v>
      </c>
      <c r="J115" s="642">
        <f>1600*D115</f>
        <v>1600</v>
      </c>
      <c r="K115" s="642">
        <f t="shared" si="81"/>
        <v>80000</v>
      </c>
      <c r="L115" s="522"/>
      <c r="M115" s="522"/>
      <c r="N115" s="572"/>
      <c r="O115" s="522"/>
    </row>
    <row r="116" spans="1:15" ht="18.75" thickBot="1" x14ac:dyDescent="0.3">
      <c r="A116" s="341"/>
      <c r="B116" s="257" t="s">
        <v>1399</v>
      </c>
      <c r="C116" s="343"/>
      <c r="D116" s="343"/>
      <c r="E116" s="343"/>
      <c r="F116" s="344"/>
      <c r="G116" s="344">
        <f>SUM(G110:G115)</f>
        <v>1576000</v>
      </c>
      <c r="H116" s="345">
        <f>SUM(H110:H115)</f>
        <v>2671.9110267191099</v>
      </c>
      <c r="I116" s="263">
        <f>SUM(I110:I115)</f>
        <v>47280</v>
      </c>
      <c r="J116" s="263">
        <f>SUM(J110:J115)</f>
        <v>37600</v>
      </c>
      <c r="K116" s="642"/>
      <c r="L116" s="522"/>
      <c r="M116" s="522"/>
      <c r="N116" s="572"/>
      <c r="O116" s="522"/>
    </row>
    <row r="117" spans="1:15" ht="16.5" thickBot="1" x14ac:dyDescent="0.3">
      <c r="A117" s="22">
        <v>1</v>
      </c>
      <c r="B117" s="26" t="s">
        <v>1027</v>
      </c>
      <c r="C117" s="23" t="s">
        <v>28</v>
      </c>
      <c r="D117" s="24">
        <v>8</v>
      </c>
      <c r="E117" s="23">
        <v>10</v>
      </c>
      <c r="F117" s="25">
        <v>7500</v>
      </c>
      <c r="G117" s="25">
        <f t="shared" ref="G117:G122" si="84">D117*E117*F117</f>
        <v>600000</v>
      </c>
      <c r="H117" s="347">
        <f>G117/589.84</f>
        <v>1017.22501017225</v>
      </c>
      <c r="I117" s="642">
        <f t="shared" ref="I117:I122" si="85">G117*0.03</f>
        <v>18000</v>
      </c>
      <c r="J117" s="642">
        <f>1600*D117</f>
        <v>12800</v>
      </c>
      <c r="K117" s="642">
        <f t="shared" ref="K117:K122" si="86">G117/D117</f>
        <v>75000</v>
      </c>
      <c r="L117" s="522"/>
      <c r="M117" s="522"/>
      <c r="N117" s="572"/>
      <c r="O117" s="522"/>
    </row>
    <row r="118" spans="1:15" x14ac:dyDescent="0.25">
      <c r="A118" s="22">
        <v>2</v>
      </c>
      <c r="B118" s="26" t="s">
        <v>1028</v>
      </c>
      <c r="C118" s="23" t="s">
        <v>28</v>
      </c>
      <c r="D118" s="24">
        <v>4</v>
      </c>
      <c r="E118" s="23">
        <v>10</v>
      </c>
      <c r="F118" s="25">
        <v>3000</v>
      </c>
      <c r="G118" s="25">
        <f t="shared" si="84"/>
        <v>120000</v>
      </c>
      <c r="H118" s="268">
        <f t="shared" ref="H118:H122" si="87">G118/589.84</f>
        <v>203.44500203445</v>
      </c>
      <c r="I118" s="642">
        <f t="shared" si="85"/>
        <v>3600</v>
      </c>
      <c r="J118" s="642">
        <f>1050*D118</f>
        <v>4200</v>
      </c>
      <c r="K118" s="642">
        <f t="shared" si="86"/>
        <v>30000</v>
      </c>
      <c r="L118" s="522"/>
      <c r="M118" s="522"/>
      <c r="N118" s="572"/>
      <c r="O118" s="522"/>
    </row>
    <row r="119" spans="1:15" x14ac:dyDescent="0.25">
      <c r="A119" s="22">
        <v>3</v>
      </c>
      <c r="B119" s="26" t="s">
        <v>1029</v>
      </c>
      <c r="C119" s="23" t="s">
        <v>28</v>
      </c>
      <c r="D119" s="24">
        <v>1</v>
      </c>
      <c r="E119" s="23">
        <v>10</v>
      </c>
      <c r="F119" s="25">
        <v>7500</v>
      </c>
      <c r="G119" s="25">
        <f t="shared" si="84"/>
        <v>75000</v>
      </c>
      <c r="H119" s="268">
        <f t="shared" si="87"/>
        <v>127.15312627153125</v>
      </c>
      <c r="I119" s="642">
        <f t="shared" si="85"/>
        <v>2250</v>
      </c>
      <c r="J119" s="642">
        <f>1600*D119</f>
        <v>1600</v>
      </c>
      <c r="K119" s="642">
        <f t="shared" si="86"/>
        <v>75000</v>
      </c>
      <c r="L119" s="522"/>
      <c r="M119" s="522"/>
      <c r="N119" s="572"/>
      <c r="O119" s="522"/>
    </row>
    <row r="120" spans="1:15" x14ac:dyDescent="0.25">
      <c r="A120" s="22">
        <v>4</v>
      </c>
      <c r="B120" s="26" t="s">
        <v>1365</v>
      </c>
      <c r="C120" s="23" t="s">
        <v>28</v>
      </c>
      <c r="D120" s="24">
        <v>15</v>
      </c>
      <c r="E120" s="23">
        <v>7</v>
      </c>
      <c r="F120" s="25">
        <v>3000</v>
      </c>
      <c r="G120" s="25">
        <f t="shared" si="84"/>
        <v>315000</v>
      </c>
      <c r="H120" s="268">
        <f t="shared" si="87"/>
        <v>534.04313034043128</v>
      </c>
      <c r="I120" s="642">
        <f t="shared" si="85"/>
        <v>9450</v>
      </c>
      <c r="J120" s="642">
        <f>550*D120</f>
        <v>8250</v>
      </c>
      <c r="K120" s="642">
        <f t="shared" si="86"/>
        <v>21000</v>
      </c>
      <c r="L120" s="522"/>
      <c r="M120" s="522"/>
      <c r="N120" s="572"/>
      <c r="O120" s="522"/>
    </row>
    <row r="121" spans="1:15" x14ac:dyDescent="0.25">
      <c r="A121" s="22">
        <v>5</v>
      </c>
      <c r="B121" s="26" t="s">
        <v>1345</v>
      </c>
      <c r="C121" s="23" t="s">
        <v>28</v>
      </c>
      <c r="D121" s="24">
        <v>1</v>
      </c>
      <c r="E121" s="23">
        <v>10</v>
      </c>
      <c r="F121" s="25">
        <v>8000</v>
      </c>
      <c r="G121" s="25">
        <f t="shared" si="84"/>
        <v>80000</v>
      </c>
      <c r="H121" s="268">
        <f t="shared" ref="H121" si="88">G121/589.84</f>
        <v>135.6300013563</v>
      </c>
      <c r="I121" s="642">
        <f t="shared" si="85"/>
        <v>2400</v>
      </c>
      <c r="J121" s="642">
        <f>1600*D121</f>
        <v>1600</v>
      </c>
      <c r="K121" s="642">
        <f t="shared" si="86"/>
        <v>80000</v>
      </c>
      <c r="L121" s="522"/>
      <c r="M121" s="522"/>
      <c r="N121" s="572"/>
      <c r="O121" s="522"/>
    </row>
    <row r="122" spans="1:15" ht="16.5" thickBot="1" x14ac:dyDescent="0.3">
      <c r="A122" s="22">
        <v>6</v>
      </c>
      <c r="B122" s="26" t="s">
        <v>1030</v>
      </c>
      <c r="C122" s="23" t="s">
        <v>28</v>
      </c>
      <c r="D122" s="24">
        <v>1</v>
      </c>
      <c r="E122" s="23">
        <v>10</v>
      </c>
      <c r="F122" s="25">
        <v>8000</v>
      </c>
      <c r="G122" s="25">
        <f t="shared" si="84"/>
        <v>80000</v>
      </c>
      <c r="H122" s="268">
        <f t="shared" si="87"/>
        <v>135.6300013563</v>
      </c>
      <c r="I122" s="642">
        <f t="shared" si="85"/>
        <v>2400</v>
      </c>
      <c r="J122" s="642">
        <f>1600*D122</f>
        <v>1600</v>
      </c>
      <c r="K122" s="642">
        <f t="shared" si="86"/>
        <v>80000</v>
      </c>
      <c r="L122" s="522"/>
      <c r="M122" s="522"/>
      <c r="N122" s="572"/>
      <c r="O122" s="522"/>
    </row>
    <row r="123" spans="1:15" ht="18.75" thickBot="1" x14ac:dyDescent="0.3">
      <c r="A123" s="341"/>
      <c r="B123" s="257" t="s">
        <v>1399</v>
      </c>
      <c r="C123" s="343"/>
      <c r="D123" s="343"/>
      <c r="E123" s="343"/>
      <c r="F123" s="344"/>
      <c r="G123" s="344">
        <f>SUM(G117:G122)</f>
        <v>1270000</v>
      </c>
      <c r="H123" s="345">
        <f>SUM(H117:H122)</f>
        <v>2153.1262715312623</v>
      </c>
      <c r="I123" s="263">
        <f>SUM(I117:I122)</f>
        <v>38100</v>
      </c>
      <c r="J123" s="263">
        <f>SUM(J117:J122)</f>
        <v>30050</v>
      </c>
      <c r="K123" s="642"/>
      <c r="L123" s="522"/>
      <c r="M123" s="522"/>
      <c r="N123" s="572"/>
      <c r="O123" s="522"/>
    </row>
    <row r="124" spans="1:15" ht="16.5" thickBot="1" x14ac:dyDescent="0.3">
      <c r="A124" s="188">
        <v>1</v>
      </c>
      <c r="B124" s="189" t="s">
        <v>1023</v>
      </c>
      <c r="C124" s="225" t="s">
        <v>28</v>
      </c>
      <c r="D124" s="225">
        <v>16</v>
      </c>
      <c r="E124" s="23">
        <v>10</v>
      </c>
      <c r="F124" s="227">
        <v>7500</v>
      </c>
      <c r="G124" s="227">
        <f t="shared" ref="G124:G129" si="89">D124*E124*F124</f>
        <v>1200000</v>
      </c>
      <c r="H124" s="347">
        <f>G124/589.84</f>
        <v>2034.4500203445</v>
      </c>
      <c r="I124" s="642">
        <f t="shared" ref="I124:I129" si="90">G124*0.03</f>
        <v>36000</v>
      </c>
      <c r="J124" s="642">
        <f>1600*D124</f>
        <v>25600</v>
      </c>
      <c r="K124" s="642">
        <f t="shared" ref="K124:K129" si="91">G124/D124</f>
        <v>75000</v>
      </c>
      <c r="L124" s="522"/>
      <c r="M124" s="522"/>
      <c r="N124" s="572"/>
      <c r="O124" s="522"/>
    </row>
    <row r="125" spans="1:15" x14ac:dyDescent="0.25">
      <c r="A125" s="188">
        <v>2</v>
      </c>
      <c r="B125" s="189" t="s">
        <v>1024</v>
      </c>
      <c r="C125" s="225" t="s">
        <v>28</v>
      </c>
      <c r="D125" s="225">
        <v>8</v>
      </c>
      <c r="E125" s="23">
        <v>10</v>
      </c>
      <c r="F125" s="227">
        <v>3000</v>
      </c>
      <c r="G125" s="227">
        <f t="shared" si="89"/>
        <v>240000</v>
      </c>
      <c r="H125" s="268">
        <f t="shared" ref="H125:H129" si="92">G125/589.84</f>
        <v>406.8900040689</v>
      </c>
      <c r="I125" s="642">
        <f t="shared" si="90"/>
        <v>7200</v>
      </c>
      <c r="J125" s="642">
        <f>1050*D125</f>
        <v>8400</v>
      </c>
      <c r="K125" s="642">
        <f t="shared" si="91"/>
        <v>30000</v>
      </c>
      <c r="L125" s="522"/>
      <c r="M125" s="522"/>
      <c r="N125" s="572"/>
      <c r="O125" s="522"/>
    </row>
    <row r="126" spans="1:15" x14ac:dyDescent="0.25">
      <c r="A126" s="188">
        <v>3</v>
      </c>
      <c r="B126" s="189" t="s">
        <v>1025</v>
      </c>
      <c r="C126" s="225" t="s">
        <v>28</v>
      </c>
      <c r="D126" s="225">
        <v>1</v>
      </c>
      <c r="E126" s="23">
        <v>10</v>
      </c>
      <c r="F126" s="227">
        <v>7500</v>
      </c>
      <c r="G126" s="227">
        <f t="shared" si="89"/>
        <v>75000</v>
      </c>
      <c r="H126" s="268">
        <f t="shared" si="92"/>
        <v>127.15312627153125</v>
      </c>
      <c r="I126" s="642">
        <f t="shared" si="90"/>
        <v>2250</v>
      </c>
      <c r="J126" s="642">
        <f>1600*D126</f>
        <v>1600</v>
      </c>
      <c r="K126" s="642">
        <f t="shared" si="91"/>
        <v>75000</v>
      </c>
      <c r="L126" s="522"/>
      <c r="M126" s="522"/>
      <c r="N126" s="572"/>
      <c r="O126" s="522"/>
    </row>
    <row r="127" spans="1:15" x14ac:dyDescent="0.25">
      <c r="A127" s="188">
        <v>4</v>
      </c>
      <c r="B127" s="26" t="s">
        <v>1365</v>
      </c>
      <c r="C127" s="23" t="s">
        <v>28</v>
      </c>
      <c r="D127" s="24">
        <v>36</v>
      </c>
      <c r="E127" s="23">
        <v>7</v>
      </c>
      <c r="F127" s="25">
        <v>3000</v>
      </c>
      <c r="G127" s="227">
        <f t="shared" si="89"/>
        <v>756000</v>
      </c>
      <c r="H127" s="268">
        <f t="shared" si="92"/>
        <v>1281.7035128170351</v>
      </c>
      <c r="I127" s="642">
        <f t="shared" si="90"/>
        <v>22680</v>
      </c>
      <c r="J127" s="642">
        <f>550*D127</f>
        <v>19800</v>
      </c>
      <c r="K127" s="642">
        <f t="shared" si="91"/>
        <v>21000</v>
      </c>
      <c r="L127" s="522"/>
      <c r="M127" s="522"/>
      <c r="N127" s="572"/>
      <c r="O127" s="522"/>
    </row>
    <row r="128" spans="1:15" x14ac:dyDescent="0.25">
      <c r="A128" s="188">
        <v>5</v>
      </c>
      <c r="B128" s="26" t="s">
        <v>1345</v>
      </c>
      <c r="C128" s="225" t="s">
        <v>28</v>
      </c>
      <c r="D128" s="225">
        <v>1</v>
      </c>
      <c r="E128" s="23">
        <v>10</v>
      </c>
      <c r="F128" s="25">
        <v>8000</v>
      </c>
      <c r="G128" s="227">
        <f t="shared" si="89"/>
        <v>80000</v>
      </c>
      <c r="H128" s="268">
        <f t="shared" ref="H128" si="93">G128/589.84</f>
        <v>135.6300013563</v>
      </c>
      <c r="I128" s="642">
        <f t="shared" si="90"/>
        <v>2400</v>
      </c>
      <c r="J128" s="642">
        <f>1600*D128</f>
        <v>1600</v>
      </c>
      <c r="K128" s="642">
        <f t="shared" si="91"/>
        <v>80000</v>
      </c>
      <c r="L128" s="522"/>
      <c r="M128" s="522"/>
      <c r="N128" s="572"/>
      <c r="O128" s="522"/>
    </row>
    <row r="129" spans="1:15" ht="16.5" thickBot="1" x14ac:dyDescent="0.3">
      <c r="A129" s="188">
        <v>6</v>
      </c>
      <c r="B129" s="189" t="s">
        <v>1026</v>
      </c>
      <c r="C129" s="225" t="s">
        <v>28</v>
      </c>
      <c r="D129" s="225">
        <v>3</v>
      </c>
      <c r="E129" s="23">
        <v>10</v>
      </c>
      <c r="F129" s="227">
        <v>8000</v>
      </c>
      <c r="G129" s="227">
        <f t="shared" si="89"/>
        <v>240000</v>
      </c>
      <c r="H129" s="268">
        <f t="shared" si="92"/>
        <v>406.8900040689</v>
      </c>
      <c r="I129" s="642">
        <f t="shared" si="90"/>
        <v>7200</v>
      </c>
      <c r="J129" s="642">
        <f>1600*D129</f>
        <v>4800</v>
      </c>
      <c r="K129" s="642">
        <f t="shared" si="91"/>
        <v>80000</v>
      </c>
      <c r="L129" s="522"/>
      <c r="M129" s="522"/>
      <c r="N129" s="572"/>
      <c r="O129" s="522"/>
    </row>
    <row r="130" spans="1:15" ht="18.75" thickBot="1" x14ac:dyDescent="0.3">
      <c r="A130" s="341"/>
      <c r="B130" s="257" t="s">
        <v>1399</v>
      </c>
      <c r="C130" s="343"/>
      <c r="D130" s="343"/>
      <c r="E130" s="343"/>
      <c r="F130" s="344"/>
      <c r="G130" s="344">
        <f>SUM(G124:G129)</f>
        <v>2591000</v>
      </c>
      <c r="H130" s="345">
        <f>SUM(H124:H129)</f>
        <v>4392.7166689271662</v>
      </c>
      <c r="I130" s="263">
        <f>SUM(I124:I129)</f>
        <v>77730</v>
      </c>
      <c r="J130" s="263">
        <f>SUM(J124:J129)</f>
        <v>61800</v>
      </c>
      <c r="K130" s="642"/>
      <c r="L130" s="522"/>
      <c r="M130" s="522"/>
      <c r="N130" s="572"/>
      <c r="O130" s="522"/>
    </row>
    <row r="131" spans="1:15" ht="16.5" thickBot="1" x14ac:dyDescent="0.3">
      <c r="A131" s="22">
        <v>1</v>
      </c>
      <c r="B131" s="26" t="s">
        <v>1031</v>
      </c>
      <c r="C131" s="23" t="s">
        <v>28</v>
      </c>
      <c r="D131" s="228">
        <v>12</v>
      </c>
      <c r="E131" s="23">
        <v>10</v>
      </c>
      <c r="F131" s="25">
        <v>7500</v>
      </c>
      <c r="G131" s="25">
        <f t="shared" ref="G131:G136" si="94">D131*E131*F131</f>
        <v>900000</v>
      </c>
      <c r="H131" s="347">
        <f>G131/589.84</f>
        <v>1525.8375152583751</v>
      </c>
      <c r="I131" s="642">
        <f t="shared" ref="I131:I136" si="95">G131*0.03</f>
        <v>27000</v>
      </c>
      <c r="J131" s="642">
        <f>1600*D131</f>
        <v>19200</v>
      </c>
      <c r="K131" s="642">
        <f t="shared" ref="K131:K136" si="96">G131/D131</f>
        <v>75000</v>
      </c>
      <c r="L131" s="522"/>
      <c r="M131" s="522"/>
      <c r="N131" s="572"/>
      <c r="O131" s="522"/>
    </row>
    <row r="132" spans="1:15" x14ac:dyDescent="0.25">
      <c r="A132" s="22">
        <v>2</v>
      </c>
      <c r="B132" s="26" t="s">
        <v>1032</v>
      </c>
      <c r="C132" s="23" t="s">
        <v>28</v>
      </c>
      <c r="D132" s="228">
        <v>6</v>
      </c>
      <c r="E132" s="23">
        <v>10</v>
      </c>
      <c r="F132" s="25">
        <v>3000</v>
      </c>
      <c r="G132" s="25">
        <f t="shared" si="94"/>
        <v>180000</v>
      </c>
      <c r="H132" s="268">
        <f t="shared" ref="H132:H136" si="97">G132/589.84</f>
        <v>305.167503051675</v>
      </c>
      <c r="I132" s="642">
        <f t="shared" si="95"/>
        <v>5400</v>
      </c>
      <c r="J132" s="642">
        <f>1050*D132</f>
        <v>6300</v>
      </c>
      <c r="K132" s="642">
        <f t="shared" si="96"/>
        <v>30000</v>
      </c>
      <c r="L132" s="522"/>
      <c r="M132" s="522"/>
      <c r="N132" s="572"/>
      <c r="O132" s="522"/>
    </row>
    <row r="133" spans="1:15" x14ac:dyDescent="0.25">
      <c r="A133" s="22">
        <v>3</v>
      </c>
      <c r="B133" s="26" t="s">
        <v>1033</v>
      </c>
      <c r="C133" s="23" t="s">
        <v>28</v>
      </c>
      <c r="D133" s="24">
        <v>1</v>
      </c>
      <c r="E133" s="23">
        <v>10</v>
      </c>
      <c r="F133" s="25">
        <v>7500</v>
      </c>
      <c r="G133" s="25">
        <f t="shared" si="94"/>
        <v>75000</v>
      </c>
      <c r="H133" s="268">
        <f t="shared" si="97"/>
        <v>127.15312627153125</v>
      </c>
      <c r="I133" s="642">
        <f t="shared" si="95"/>
        <v>2250</v>
      </c>
      <c r="J133" s="642">
        <f>1600*D133</f>
        <v>1600</v>
      </c>
      <c r="K133" s="642">
        <f t="shared" si="96"/>
        <v>75000</v>
      </c>
      <c r="L133" s="522"/>
      <c r="M133" s="522"/>
      <c r="N133" s="572"/>
      <c r="O133" s="522"/>
    </row>
    <row r="134" spans="1:15" x14ac:dyDescent="0.25">
      <c r="A134" s="22">
        <v>4</v>
      </c>
      <c r="B134" s="26" t="s">
        <v>1365</v>
      </c>
      <c r="C134" s="23" t="s">
        <v>28</v>
      </c>
      <c r="D134" s="24">
        <v>31</v>
      </c>
      <c r="E134" s="23">
        <v>7</v>
      </c>
      <c r="F134" s="25">
        <v>3000</v>
      </c>
      <c r="G134" s="25">
        <f t="shared" si="94"/>
        <v>651000</v>
      </c>
      <c r="H134" s="268">
        <f t="shared" si="97"/>
        <v>1103.6891360368913</v>
      </c>
      <c r="I134" s="642">
        <f t="shared" si="95"/>
        <v>19530</v>
      </c>
      <c r="J134" s="642">
        <f>550*D134</f>
        <v>17050</v>
      </c>
      <c r="K134" s="642">
        <f t="shared" si="96"/>
        <v>21000</v>
      </c>
      <c r="L134" s="522"/>
      <c r="M134" s="522"/>
      <c r="N134" s="572"/>
      <c r="O134" s="522"/>
    </row>
    <row r="135" spans="1:15" x14ac:dyDescent="0.25">
      <c r="A135" s="22">
        <v>5</v>
      </c>
      <c r="B135" s="26" t="s">
        <v>1345</v>
      </c>
      <c r="C135" s="23" t="s">
        <v>28</v>
      </c>
      <c r="D135" s="24">
        <v>1</v>
      </c>
      <c r="E135" s="23">
        <v>10</v>
      </c>
      <c r="F135" s="25">
        <v>8000</v>
      </c>
      <c r="G135" s="25">
        <f t="shared" si="94"/>
        <v>80000</v>
      </c>
      <c r="H135" s="268">
        <f t="shared" ref="H135" si="98">G135/589.84</f>
        <v>135.6300013563</v>
      </c>
      <c r="I135" s="642">
        <f t="shared" si="95"/>
        <v>2400</v>
      </c>
      <c r="J135" s="642">
        <f>1600*D135</f>
        <v>1600</v>
      </c>
      <c r="K135" s="642">
        <f t="shared" si="96"/>
        <v>80000</v>
      </c>
      <c r="L135" s="522"/>
      <c r="M135" s="522"/>
      <c r="N135" s="572"/>
      <c r="O135" s="522"/>
    </row>
    <row r="136" spans="1:15" ht="16.5" thickBot="1" x14ac:dyDescent="0.3">
      <c r="A136" s="22">
        <v>6</v>
      </c>
      <c r="B136" s="26" t="s">
        <v>1034</v>
      </c>
      <c r="C136" s="23" t="s">
        <v>28</v>
      </c>
      <c r="D136" s="24">
        <v>2</v>
      </c>
      <c r="E136" s="23">
        <v>10</v>
      </c>
      <c r="F136" s="25">
        <v>8000</v>
      </c>
      <c r="G136" s="25">
        <f t="shared" si="94"/>
        <v>160000</v>
      </c>
      <c r="H136" s="268">
        <f t="shared" si="97"/>
        <v>271.2600027126</v>
      </c>
      <c r="I136" s="642">
        <f t="shared" si="95"/>
        <v>4800</v>
      </c>
      <c r="J136" s="642">
        <f>1600*D136</f>
        <v>3200</v>
      </c>
      <c r="K136" s="642">
        <f t="shared" si="96"/>
        <v>80000</v>
      </c>
      <c r="L136" s="522"/>
      <c r="M136" s="522"/>
      <c r="N136" s="572"/>
      <c r="O136" s="522"/>
    </row>
    <row r="137" spans="1:15" ht="18.75" thickBot="1" x14ac:dyDescent="0.3">
      <c r="A137" s="341"/>
      <c r="B137" s="257" t="s">
        <v>1399</v>
      </c>
      <c r="C137" s="343"/>
      <c r="D137" s="343"/>
      <c r="E137" s="343"/>
      <c r="F137" s="344"/>
      <c r="G137" s="344">
        <f>SUM(G131:G136)</f>
        <v>2046000</v>
      </c>
      <c r="H137" s="345">
        <f>SUM(H131:H136)</f>
        <v>3468.7372846873727</v>
      </c>
      <c r="I137" s="263">
        <f>SUM(I131:I136)</f>
        <v>61380</v>
      </c>
      <c r="J137" s="263">
        <f>SUM(J131:J136)</f>
        <v>48950</v>
      </c>
      <c r="K137" s="642"/>
      <c r="L137" s="522"/>
      <c r="M137" s="522"/>
      <c r="N137" s="572"/>
      <c r="O137" s="522"/>
    </row>
    <row r="138" spans="1:15" ht="16.5" thickBot="1" x14ac:dyDescent="0.3">
      <c r="A138" s="22">
        <v>1</v>
      </c>
      <c r="B138" s="26" t="s">
        <v>1035</v>
      </c>
      <c r="C138" s="23" t="s">
        <v>28</v>
      </c>
      <c r="D138" s="24">
        <v>8</v>
      </c>
      <c r="E138" s="23">
        <v>10</v>
      </c>
      <c r="F138" s="25">
        <v>7500</v>
      </c>
      <c r="G138" s="25">
        <f t="shared" ref="G138:G143" si="99">D138*E138*F138</f>
        <v>600000</v>
      </c>
      <c r="H138" s="347">
        <f>G138/589.84</f>
        <v>1017.22501017225</v>
      </c>
      <c r="I138" s="642">
        <f t="shared" ref="I138:I143" si="100">G138*0.03</f>
        <v>18000</v>
      </c>
      <c r="J138" s="642">
        <f>1600*D138</f>
        <v>12800</v>
      </c>
      <c r="K138" s="642">
        <f t="shared" ref="K138:K143" si="101">G138/D138</f>
        <v>75000</v>
      </c>
      <c r="L138" s="522"/>
      <c r="M138" s="522"/>
      <c r="N138" s="572"/>
      <c r="O138" s="522"/>
    </row>
    <row r="139" spans="1:15" x14ac:dyDescent="0.25">
      <c r="A139" s="22">
        <v>2</v>
      </c>
      <c r="B139" s="26" t="s">
        <v>1036</v>
      </c>
      <c r="C139" s="23" t="s">
        <v>28</v>
      </c>
      <c r="D139" s="24">
        <v>4</v>
      </c>
      <c r="E139" s="23">
        <v>10</v>
      </c>
      <c r="F139" s="25">
        <v>3000</v>
      </c>
      <c r="G139" s="25">
        <f t="shared" si="99"/>
        <v>120000</v>
      </c>
      <c r="H139" s="268">
        <f t="shared" ref="H139:H143" si="102">G139/589.84</f>
        <v>203.44500203445</v>
      </c>
      <c r="I139" s="642">
        <f t="shared" si="100"/>
        <v>3600</v>
      </c>
      <c r="J139" s="642">
        <f>1050*D139</f>
        <v>4200</v>
      </c>
      <c r="K139" s="642">
        <f t="shared" si="101"/>
        <v>30000</v>
      </c>
      <c r="L139" s="522"/>
      <c r="M139" s="522"/>
      <c r="N139" s="572"/>
      <c r="O139" s="522"/>
    </row>
    <row r="140" spans="1:15" x14ac:dyDescent="0.25">
      <c r="A140" s="22">
        <v>3</v>
      </c>
      <c r="B140" s="26" t="s">
        <v>1037</v>
      </c>
      <c r="C140" s="23" t="s">
        <v>28</v>
      </c>
      <c r="D140" s="24">
        <v>1</v>
      </c>
      <c r="E140" s="23">
        <v>10</v>
      </c>
      <c r="F140" s="25">
        <v>7500</v>
      </c>
      <c r="G140" s="25">
        <f t="shared" si="99"/>
        <v>75000</v>
      </c>
      <c r="H140" s="268">
        <f t="shared" si="102"/>
        <v>127.15312627153125</v>
      </c>
      <c r="I140" s="642">
        <f t="shared" si="100"/>
        <v>2250</v>
      </c>
      <c r="J140" s="642">
        <f>1600*D140</f>
        <v>1600</v>
      </c>
      <c r="K140" s="642">
        <f t="shared" si="101"/>
        <v>75000</v>
      </c>
      <c r="L140" s="522"/>
      <c r="M140" s="522"/>
      <c r="N140" s="572"/>
      <c r="O140" s="522"/>
    </row>
    <row r="141" spans="1:15" x14ac:dyDescent="0.25">
      <c r="A141" s="22">
        <v>4</v>
      </c>
      <c r="B141" s="26" t="s">
        <v>1365</v>
      </c>
      <c r="C141" s="23" t="s">
        <v>28</v>
      </c>
      <c r="D141" s="24">
        <v>28</v>
      </c>
      <c r="E141" s="23">
        <v>7</v>
      </c>
      <c r="F141" s="25">
        <v>3000</v>
      </c>
      <c r="G141" s="25">
        <f t="shared" si="99"/>
        <v>588000</v>
      </c>
      <c r="H141" s="268">
        <f t="shared" si="102"/>
        <v>996.88050996880509</v>
      </c>
      <c r="I141" s="642">
        <f t="shared" si="100"/>
        <v>17640</v>
      </c>
      <c r="J141" s="642">
        <f>550*D141</f>
        <v>15400</v>
      </c>
      <c r="K141" s="642">
        <f t="shared" si="101"/>
        <v>21000</v>
      </c>
      <c r="L141" s="522"/>
      <c r="M141" s="522"/>
      <c r="N141" s="572"/>
      <c r="O141" s="522"/>
    </row>
    <row r="142" spans="1:15" x14ac:dyDescent="0.25">
      <c r="A142" s="22">
        <v>5</v>
      </c>
      <c r="B142" s="26" t="s">
        <v>1345</v>
      </c>
      <c r="C142" s="23" t="s">
        <v>28</v>
      </c>
      <c r="D142" s="24">
        <v>1</v>
      </c>
      <c r="E142" s="23">
        <v>10</v>
      </c>
      <c r="F142" s="25">
        <v>8000</v>
      </c>
      <c r="G142" s="25">
        <f t="shared" si="99"/>
        <v>80000</v>
      </c>
      <c r="H142" s="268">
        <f t="shared" ref="H142" si="103">G142/589.84</f>
        <v>135.6300013563</v>
      </c>
      <c r="I142" s="642">
        <f t="shared" si="100"/>
        <v>2400</v>
      </c>
      <c r="J142" s="642">
        <f>1600*D142</f>
        <v>1600</v>
      </c>
      <c r="K142" s="642">
        <f t="shared" si="101"/>
        <v>80000</v>
      </c>
      <c r="L142" s="522"/>
      <c r="M142" s="522"/>
      <c r="N142" s="572"/>
      <c r="O142" s="522"/>
    </row>
    <row r="143" spans="1:15" ht="16.5" thickBot="1" x14ac:dyDescent="0.3">
      <c r="A143" s="22">
        <v>6</v>
      </c>
      <c r="B143" s="26" t="s">
        <v>1038</v>
      </c>
      <c r="C143" s="23" t="s">
        <v>28</v>
      </c>
      <c r="D143" s="24">
        <v>1</v>
      </c>
      <c r="E143" s="23">
        <v>10</v>
      </c>
      <c r="F143" s="25">
        <v>8000</v>
      </c>
      <c r="G143" s="25">
        <f t="shared" si="99"/>
        <v>80000</v>
      </c>
      <c r="H143" s="268">
        <f t="shared" si="102"/>
        <v>135.6300013563</v>
      </c>
      <c r="I143" s="642">
        <f t="shared" si="100"/>
        <v>2400</v>
      </c>
      <c r="J143" s="642">
        <f>1600*D143</f>
        <v>1600</v>
      </c>
      <c r="K143" s="642">
        <f t="shared" si="101"/>
        <v>80000</v>
      </c>
      <c r="L143" s="522"/>
      <c r="M143" s="522"/>
      <c r="N143" s="572"/>
      <c r="O143" s="522"/>
    </row>
    <row r="144" spans="1:15" ht="18.75" thickBot="1" x14ac:dyDescent="0.3">
      <c r="A144" s="341"/>
      <c r="B144" s="257" t="s">
        <v>1399</v>
      </c>
      <c r="C144" s="343"/>
      <c r="D144" s="343"/>
      <c r="E144" s="343"/>
      <c r="F144" s="344"/>
      <c r="G144" s="344">
        <f>SUM(G138:G143)</f>
        <v>1543000</v>
      </c>
      <c r="H144" s="345">
        <f>SUM(H138:H143)</f>
        <v>2615.9636511596364</v>
      </c>
      <c r="I144" s="263">
        <f>SUM(I138:I143)</f>
        <v>46290</v>
      </c>
      <c r="J144" s="263">
        <f>SUM(J138:J143)</f>
        <v>37200</v>
      </c>
      <c r="K144" s="642"/>
      <c r="L144" s="522"/>
      <c r="M144" s="522"/>
      <c r="N144" s="572"/>
      <c r="O144" s="522"/>
    </row>
    <row r="145" spans="1:15" ht="18.75" thickBot="1" x14ac:dyDescent="0.3">
      <c r="A145" s="796" t="s">
        <v>521</v>
      </c>
      <c r="B145" s="797"/>
      <c r="C145" s="797"/>
      <c r="D145" s="797"/>
      <c r="E145" s="798"/>
      <c r="F145" s="380"/>
      <c r="G145" s="381"/>
      <c r="H145" s="340"/>
      <c r="I145" s="522"/>
      <c r="J145" s="522"/>
      <c r="K145" s="522"/>
      <c r="L145" s="522"/>
      <c r="M145" s="522"/>
      <c r="N145" s="572"/>
      <c r="O145" s="522"/>
    </row>
    <row r="146" spans="1:15" x14ac:dyDescent="0.25">
      <c r="A146" s="188">
        <v>1</v>
      </c>
      <c r="B146" s="189" t="s">
        <v>742</v>
      </c>
      <c r="C146" s="225" t="s">
        <v>28</v>
      </c>
      <c r="D146" s="226">
        <v>2</v>
      </c>
      <c r="E146" s="229">
        <v>12</v>
      </c>
      <c r="F146" s="227">
        <v>12500</v>
      </c>
      <c r="G146" s="227">
        <f t="shared" ref="G146:G154" si="104">D146*E146*F146</f>
        <v>300000</v>
      </c>
      <c r="H146" s="268">
        <f t="shared" ref="H146:H154" si="105">G146/589.84</f>
        <v>508.612505086125</v>
      </c>
      <c r="I146" s="642">
        <f>G146*0.03</f>
        <v>9000</v>
      </c>
      <c r="J146" s="642">
        <f>1900*D146</f>
        <v>3800</v>
      </c>
      <c r="K146" s="642">
        <f>G146/D146</f>
        <v>150000</v>
      </c>
      <c r="L146" s="522"/>
      <c r="M146" s="522"/>
      <c r="N146" s="572"/>
      <c r="O146" s="522"/>
    </row>
    <row r="147" spans="1:15" x14ac:dyDescent="0.25">
      <c r="A147" s="188">
        <v>2</v>
      </c>
      <c r="B147" s="189" t="s">
        <v>743</v>
      </c>
      <c r="C147" s="225" t="s">
        <v>28</v>
      </c>
      <c r="D147" s="226">
        <v>1</v>
      </c>
      <c r="E147" s="229">
        <v>10</v>
      </c>
      <c r="F147" s="25">
        <v>10000</v>
      </c>
      <c r="G147" s="227">
        <f t="shared" si="104"/>
        <v>100000</v>
      </c>
      <c r="H147" s="268">
        <f t="shared" si="105"/>
        <v>169.537501695375</v>
      </c>
      <c r="I147" s="642">
        <f t="shared" ref="I147:I154" si="106">G147*0.03</f>
        <v>3000</v>
      </c>
      <c r="J147" s="642">
        <f>1600*D147</f>
        <v>1600</v>
      </c>
      <c r="K147" s="642">
        <f t="shared" ref="K147:K154" si="107">G147/D147</f>
        <v>100000</v>
      </c>
      <c r="L147" s="522"/>
      <c r="M147" s="522"/>
      <c r="N147" s="572"/>
      <c r="O147" s="522"/>
    </row>
    <row r="148" spans="1:15" x14ac:dyDescent="0.25">
      <c r="A148" s="188">
        <v>3</v>
      </c>
      <c r="B148" s="189" t="s">
        <v>744</v>
      </c>
      <c r="C148" s="225" t="s">
        <v>28</v>
      </c>
      <c r="D148" s="226">
        <v>2</v>
      </c>
      <c r="E148" s="229">
        <v>13</v>
      </c>
      <c r="F148" s="25">
        <v>10000</v>
      </c>
      <c r="G148" s="227">
        <f t="shared" si="104"/>
        <v>260000</v>
      </c>
      <c r="H148" s="268">
        <f t="shared" si="105"/>
        <v>440.797504407975</v>
      </c>
      <c r="I148" s="642">
        <f t="shared" si="106"/>
        <v>7800</v>
      </c>
      <c r="J148" s="642">
        <f>1900*D148</f>
        <v>3800</v>
      </c>
      <c r="K148" s="642">
        <f t="shared" si="107"/>
        <v>130000</v>
      </c>
      <c r="L148" s="522"/>
      <c r="M148" s="522"/>
      <c r="N148" s="572"/>
      <c r="O148" s="522"/>
    </row>
    <row r="149" spans="1:15" x14ac:dyDescent="0.25">
      <c r="A149" s="188">
        <v>4</v>
      </c>
      <c r="B149" s="189" t="s">
        <v>745</v>
      </c>
      <c r="C149" s="225" t="s">
        <v>28</v>
      </c>
      <c r="D149" s="226">
        <v>1</v>
      </c>
      <c r="E149" s="229">
        <v>13</v>
      </c>
      <c r="F149" s="25">
        <v>10000</v>
      </c>
      <c r="G149" s="227">
        <f t="shared" si="104"/>
        <v>130000</v>
      </c>
      <c r="H149" s="268">
        <f t="shared" si="105"/>
        <v>220.3987522039875</v>
      </c>
      <c r="I149" s="642">
        <f t="shared" si="106"/>
        <v>3900</v>
      </c>
      <c r="J149" s="642">
        <f>1600*D149</f>
        <v>1600</v>
      </c>
      <c r="K149" s="642">
        <f t="shared" si="107"/>
        <v>130000</v>
      </c>
      <c r="L149" s="522"/>
      <c r="M149" s="522"/>
      <c r="N149" s="572"/>
      <c r="O149" s="522"/>
    </row>
    <row r="150" spans="1:15" x14ac:dyDescent="0.25">
      <c r="A150" s="188">
        <v>5</v>
      </c>
      <c r="B150" s="189" t="s">
        <v>746</v>
      </c>
      <c r="C150" s="225" t="s">
        <v>28</v>
      </c>
      <c r="D150" s="226">
        <v>1</v>
      </c>
      <c r="E150" s="229">
        <v>10</v>
      </c>
      <c r="F150" s="25">
        <v>10000</v>
      </c>
      <c r="G150" s="227">
        <f t="shared" si="104"/>
        <v>100000</v>
      </c>
      <c r="H150" s="268">
        <f t="shared" si="105"/>
        <v>169.537501695375</v>
      </c>
      <c r="I150" s="642">
        <f t="shared" si="106"/>
        <v>3000</v>
      </c>
      <c r="J150" s="642">
        <f>1600*D150</f>
        <v>1600</v>
      </c>
      <c r="K150" s="642">
        <f t="shared" si="107"/>
        <v>100000</v>
      </c>
      <c r="L150" s="522"/>
      <c r="M150" s="522"/>
      <c r="N150" s="572"/>
      <c r="O150" s="522"/>
    </row>
    <row r="151" spans="1:15" x14ac:dyDescent="0.25">
      <c r="A151" s="188">
        <v>6</v>
      </c>
      <c r="B151" s="189" t="s">
        <v>747</v>
      </c>
      <c r="C151" s="225" t="s">
        <v>28</v>
      </c>
      <c r="D151" s="226">
        <v>1</v>
      </c>
      <c r="E151" s="229">
        <v>10</v>
      </c>
      <c r="F151" s="25">
        <v>10000</v>
      </c>
      <c r="G151" s="227">
        <f t="shared" si="104"/>
        <v>100000</v>
      </c>
      <c r="H151" s="268">
        <f t="shared" si="105"/>
        <v>169.537501695375</v>
      </c>
      <c r="I151" s="642">
        <f t="shared" si="106"/>
        <v>3000</v>
      </c>
      <c r="J151" s="642">
        <f>1600*D151</f>
        <v>1600</v>
      </c>
      <c r="K151" s="642">
        <f t="shared" si="107"/>
        <v>100000</v>
      </c>
      <c r="L151" s="522"/>
      <c r="M151" s="522"/>
      <c r="N151" s="572"/>
      <c r="O151" s="522"/>
    </row>
    <row r="152" spans="1:15" x14ac:dyDescent="0.25">
      <c r="A152" s="188">
        <v>7</v>
      </c>
      <c r="B152" s="189" t="s">
        <v>748</v>
      </c>
      <c r="C152" s="225" t="s">
        <v>28</v>
      </c>
      <c r="D152" s="226">
        <v>6</v>
      </c>
      <c r="E152" s="229">
        <v>10</v>
      </c>
      <c r="F152" s="25">
        <v>10000</v>
      </c>
      <c r="G152" s="227">
        <f t="shared" si="104"/>
        <v>600000</v>
      </c>
      <c r="H152" s="268">
        <f t="shared" si="105"/>
        <v>1017.22501017225</v>
      </c>
      <c r="I152" s="642">
        <f t="shared" si="106"/>
        <v>18000</v>
      </c>
      <c r="J152" s="642">
        <f>1600*D152</f>
        <v>9600</v>
      </c>
      <c r="K152" s="642">
        <f t="shared" si="107"/>
        <v>100000</v>
      </c>
      <c r="L152" s="522"/>
      <c r="M152" s="522"/>
      <c r="N152" s="572"/>
      <c r="O152" s="522"/>
    </row>
    <row r="153" spans="1:15" x14ac:dyDescent="0.25">
      <c r="A153" s="188">
        <v>8</v>
      </c>
      <c r="B153" s="189" t="s">
        <v>749</v>
      </c>
      <c r="C153" s="225" t="s">
        <v>28</v>
      </c>
      <c r="D153" s="226">
        <v>1</v>
      </c>
      <c r="E153" s="229">
        <v>10</v>
      </c>
      <c r="F153" s="25">
        <v>10000</v>
      </c>
      <c r="G153" s="227">
        <f t="shared" si="104"/>
        <v>100000</v>
      </c>
      <c r="H153" s="268">
        <f t="shared" si="105"/>
        <v>169.537501695375</v>
      </c>
      <c r="I153" s="642">
        <f t="shared" si="106"/>
        <v>3000</v>
      </c>
      <c r="J153" s="642">
        <f>1600*D153</f>
        <v>1600</v>
      </c>
      <c r="K153" s="642">
        <f t="shared" si="107"/>
        <v>100000</v>
      </c>
      <c r="L153" s="522"/>
      <c r="M153" s="522"/>
      <c r="N153" s="572"/>
      <c r="O153" s="522"/>
    </row>
    <row r="154" spans="1:15" ht="16.5" thickBot="1" x14ac:dyDescent="0.3">
      <c r="A154" s="188">
        <v>9</v>
      </c>
      <c r="B154" s="189" t="s">
        <v>750</v>
      </c>
      <c r="C154" s="225" t="s">
        <v>28</v>
      </c>
      <c r="D154" s="226">
        <v>1</v>
      </c>
      <c r="E154" s="229">
        <v>10</v>
      </c>
      <c r="F154" s="227">
        <v>5000</v>
      </c>
      <c r="G154" s="227">
        <f t="shared" si="104"/>
        <v>50000</v>
      </c>
      <c r="H154" s="268">
        <f t="shared" si="105"/>
        <v>84.7687508476875</v>
      </c>
      <c r="I154" s="642">
        <f t="shared" si="106"/>
        <v>1500</v>
      </c>
      <c r="J154" s="642">
        <f>1050*D154</f>
        <v>1050</v>
      </c>
      <c r="K154" s="642">
        <f t="shared" si="107"/>
        <v>50000</v>
      </c>
      <c r="L154" s="522"/>
      <c r="M154" s="522"/>
      <c r="N154" s="572"/>
      <c r="O154" s="522"/>
    </row>
    <row r="155" spans="1:15" ht="18.75" thickBot="1" x14ac:dyDescent="0.3">
      <c r="A155" s="796" t="s">
        <v>522</v>
      </c>
      <c r="B155" s="797"/>
      <c r="C155" s="797"/>
      <c r="D155" s="797"/>
      <c r="E155" s="798"/>
      <c r="F155" s="380"/>
      <c r="G155" s="381">
        <f>SUM(G146:G154)</f>
        <v>1740000</v>
      </c>
      <c r="H155" s="340">
        <f>SUM(H146:H154)</f>
        <v>2949.9525294995246</v>
      </c>
      <c r="I155" s="263">
        <f>SUM(I146:I154)</f>
        <v>52200</v>
      </c>
      <c r="J155" s="263">
        <f>SUM(J146:J154)</f>
        <v>26250</v>
      </c>
      <c r="K155" s="501"/>
      <c r="L155" s="522"/>
      <c r="M155" s="522"/>
      <c r="N155" s="572"/>
      <c r="O155" s="522"/>
    </row>
    <row r="156" spans="1:15" ht="34.5" customHeight="1" thickBot="1" x14ac:dyDescent="0.3">
      <c r="A156" s="780" t="s">
        <v>1123</v>
      </c>
      <c r="B156" s="781"/>
      <c r="C156" s="781"/>
      <c r="D156" s="781"/>
      <c r="E156" s="783"/>
      <c r="F156" s="348"/>
      <c r="G156" s="349"/>
      <c r="H156" s="350"/>
      <c r="I156" s="501"/>
      <c r="J156" s="501"/>
      <c r="K156" s="501"/>
      <c r="L156" s="522"/>
      <c r="M156" s="522"/>
      <c r="N156" s="572"/>
      <c r="O156" s="522"/>
    </row>
    <row r="157" spans="1:15" ht="18" x14ac:dyDescent="0.25">
      <c r="A157" s="231"/>
      <c r="B157" s="234" t="s">
        <v>524</v>
      </c>
      <c r="C157" s="232"/>
      <c r="D157" s="232"/>
      <c r="E157" s="232"/>
      <c r="F157" s="232"/>
      <c r="G157" s="232"/>
      <c r="H157" s="25"/>
      <c r="L157" s="522"/>
      <c r="M157" s="522"/>
      <c r="N157" s="572"/>
      <c r="O157" s="522"/>
    </row>
    <row r="158" spans="1:15" x14ac:dyDescent="0.25">
      <c r="A158" s="22">
        <v>1</v>
      </c>
      <c r="B158" s="26" t="s">
        <v>1293</v>
      </c>
      <c r="C158" s="23" t="s">
        <v>83</v>
      </c>
      <c r="D158" s="19">
        <f>(174-37)-19-4</f>
        <v>114</v>
      </c>
      <c r="E158" s="23">
        <v>10</v>
      </c>
      <c r="F158" s="25">
        <v>10000</v>
      </c>
      <c r="G158" s="227">
        <f t="shared" ref="G158:G176" si="108">D158*E158*F158</f>
        <v>11400000</v>
      </c>
      <c r="H158" s="268">
        <f t="shared" ref="H158:H176" si="109">G158/589.84</f>
        <v>19327.275193272751</v>
      </c>
      <c r="I158" s="642">
        <f>G158*0.03</f>
        <v>342000</v>
      </c>
      <c r="J158" s="642">
        <f>1600*D158</f>
        <v>182400</v>
      </c>
      <c r="K158" s="642">
        <f>G158/D158</f>
        <v>100000</v>
      </c>
      <c r="L158" s="522"/>
      <c r="M158" s="522"/>
      <c r="N158" s="572"/>
      <c r="O158" s="522"/>
    </row>
    <row r="159" spans="1:15" x14ac:dyDescent="0.25">
      <c r="A159" s="22">
        <v>2</v>
      </c>
      <c r="B159" s="26" t="s">
        <v>1294</v>
      </c>
      <c r="C159" s="23" t="s">
        <v>30</v>
      </c>
      <c r="D159" s="19">
        <f>174*3*10</f>
        <v>5220</v>
      </c>
      <c r="E159" s="23">
        <v>1</v>
      </c>
      <c r="F159" s="25">
        <v>850</v>
      </c>
      <c r="G159" s="227">
        <f t="shared" si="108"/>
        <v>4437000</v>
      </c>
      <c r="H159" s="268">
        <f t="shared" si="109"/>
        <v>7522.3789502237887</v>
      </c>
      <c r="I159" s="501"/>
      <c r="J159" s="501"/>
      <c r="K159" s="501"/>
      <c r="L159" s="522"/>
      <c r="M159" s="522"/>
      <c r="N159" s="572"/>
      <c r="O159" s="522"/>
    </row>
    <row r="160" spans="1:15" x14ac:dyDescent="0.25">
      <c r="A160" s="22">
        <v>3</v>
      </c>
      <c r="B160" s="26" t="s">
        <v>1295</v>
      </c>
      <c r="C160" s="23" t="s">
        <v>83</v>
      </c>
      <c r="D160" s="19">
        <f>+D16+D23+D30+D37+D44+D52+D59+D66+D73+D80+D87+D94+D101+D108+D115+D122+D129+D136+D143</f>
        <v>28</v>
      </c>
      <c r="E160" s="23">
        <v>10</v>
      </c>
      <c r="F160" s="25">
        <v>10000</v>
      </c>
      <c r="G160" s="227">
        <f t="shared" si="108"/>
        <v>2800000</v>
      </c>
      <c r="H160" s="268">
        <f t="shared" si="109"/>
        <v>4747.0500474705004</v>
      </c>
      <c r="I160" s="642">
        <f>G160*0.03</f>
        <v>84000</v>
      </c>
      <c r="J160" s="642">
        <f>1600*D160</f>
        <v>44800</v>
      </c>
      <c r="K160" s="642">
        <f>G160/D160</f>
        <v>100000</v>
      </c>
      <c r="L160" s="522"/>
      <c r="M160" s="522"/>
      <c r="N160" s="572"/>
      <c r="O160" s="522"/>
    </row>
    <row r="161" spans="1:15" x14ac:dyDescent="0.25">
      <c r="A161" s="22">
        <v>4</v>
      </c>
      <c r="B161" s="26" t="s">
        <v>1296</v>
      </c>
      <c r="C161" s="23" t="s">
        <v>30</v>
      </c>
      <c r="D161" s="19">
        <f>+D160*3*10</f>
        <v>840</v>
      </c>
      <c r="E161" s="23">
        <v>1</v>
      </c>
      <c r="F161" s="25">
        <v>850</v>
      </c>
      <c r="G161" s="227">
        <f t="shared" si="108"/>
        <v>714000</v>
      </c>
      <c r="H161" s="268">
        <f t="shared" si="109"/>
        <v>1210.4977621049775</v>
      </c>
      <c r="I161" s="501"/>
      <c r="J161" s="501"/>
      <c r="K161" s="501"/>
      <c r="L161" s="522"/>
      <c r="M161" s="522"/>
      <c r="N161" s="572"/>
      <c r="O161" s="522"/>
    </row>
    <row r="162" spans="1:15" x14ac:dyDescent="0.25">
      <c r="A162" s="22">
        <v>5</v>
      </c>
      <c r="B162" s="26" t="s">
        <v>1297</v>
      </c>
      <c r="C162" s="23" t="s">
        <v>84</v>
      </c>
      <c r="D162" s="19">
        <v>3</v>
      </c>
      <c r="E162" s="23">
        <v>0</v>
      </c>
      <c r="F162" s="25">
        <v>75000</v>
      </c>
      <c r="G162" s="227">
        <f t="shared" si="108"/>
        <v>0</v>
      </c>
      <c r="H162" s="268">
        <f t="shared" si="109"/>
        <v>0</v>
      </c>
      <c r="I162" s="501"/>
      <c r="J162" s="501"/>
      <c r="K162" s="501"/>
      <c r="L162" s="522"/>
      <c r="M162" s="522"/>
      <c r="N162" s="572"/>
      <c r="O162" s="522"/>
    </row>
    <row r="163" spans="1:15" x14ac:dyDescent="0.25">
      <c r="A163" s="22">
        <v>6</v>
      </c>
      <c r="B163" s="26" t="s">
        <v>1298</v>
      </c>
      <c r="C163" s="23" t="s">
        <v>29</v>
      </c>
      <c r="D163" s="19">
        <f>D162*100*0.2*10</f>
        <v>600</v>
      </c>
      <c r="E163" s="23">
        <v>1</v>
      </c>
      <c r="F163" s="25">
        <v>800</v>
      </c>
      <c r="G163" s="227">
        <f t="shared" si="108"/>
        <v>480000</v>
      </c>
      <c r="H163" s="268">
        <f t="shared" si="109"/>
        <v>813.7800081378</v>
      </c>
      <c r="I163" s="501"/>
      <c r="J163" s="501"/>
      <c r="K163" s="501"/>
      <c r="L163" s="522"/>
      <c r="M163" s="522"/>
      <c r="N163" s="572"/>
      <c r="O163" s="522"/>
    </row>
    <row r="164" spans="1:15" x14ac:dyDescent="0.25">
      <c r="A164" s="22">
        <v>7</v>
      </c>
      <c r="B164" s="26" t="s">
        <v>1350</v>
      </c>
      <c r="C164" s="23" t="s">
        <v>29</v>
      </c>
      <c r="D164" s="19">
        <f>100*0.2*1*10</f>
        <v>200</v>
      </c>
      <c r="E164" s="23">
        <v>1</v>
      </c>
      <c r="F164" s="25">
        <v>800</v>
      </c>
      <c r="G164" s="227">
        <f t="shared" si="108"/>
        <v>160000</v>
      </c>
      <c r="H164" s="268">
        <f t="shared" si="109"/>
        <v>271.2600027126</v>
      </c>
      <c r="I164" s="501"/>
      <c r="J164" s="501"/>
      <c r="K164" s="501"/>
      <c r="L164" s="522"/>
      <c r="M164" s="522"/>
      <c r="N164" s="572"/>
      <c r="O164" s="522"/>
    </row>
    <row r="165" spans="1:15" x14ac:dyDescent="0.25">
      <c r="A165" s="22">
        <v>8</v>
      </c>
      <c r="B165" s="26" t="s">
        <v>1299</v>
      </c>
      <c r="C165" s="23" t="s">
        <v>1280</v>
      </c>
      <c r="D165" s="19">
        <v>0</v>
      </c>
      <c r="E165" s="23">
        <v>6</v>
      </c>
      <c r="F165" s="25">
        <f>75000+225000</f>
        <v>300000</v>
      </c>
      <c r="G165" s="227">
        <f t="shared" si="108"/>
        <v>0</v>
      </c>
      <c r="H165" s="268">
        <f t="shared" si="109"/>
        <v>0</v>
      </c>
      <c r="I165" s="501"/>
      <c r="J165" s="501"/>
      <c r="K165" s="501"/>
      <c r="L165" s="522"/>
      <c r="M165" s="522"/>
      <c r="N165" s="572"/>
      <c r="O165" s="522"/>
    </row>
    <row r="166" spans="1:15" x14ac:dyDescent="0.25">
      <c r="A166" s="22">
        <v>9</v>
      </c>
      <c r="B166" s="26" t="s">
        <v>1446</v>
      </c>
      <c r="C166" s="23" t="s">
        <v>30</v>
      </c>
      <c r="D166" s="19">
        <f>19*3*10</f>
        <v>570</v>
      </c>
      <c r="E166" s="23">
        <v>1</v>
      </c>
      <c r="F166" s="25">
        <v>850</v>
      </c>
      <c r="G166" s="227">
        <f t="shared" si="108"/>
        <v>484500</v>
      </c>
      <c r="H166" s="268">
        <f t="shared" si="109"/>
        <v>821.40919571409188</v>
      </c>
      <c r="I166" s="501"/>
      <c r="J166" s="501"/>
      <c r="K166" s="501"/>
      <c r="L166" s="522"/>
      <c r="M166" s="522"/>
      <c r="N166" s="572"/>
      <c r="O166" s="522"/>
    </row>
    <row r="167" spans="1:15" x14ac:dyDescent="0.25">
      <c r="A167" s="22">
        <v>10</v>
      </c>
      <c r="B167" s="26" t="s">
        <v>1300</v>
      </c>
      <c r="C167" s="23" t="s">
        <v>1301</v>
      </c>
      <c r="D167" s="19">
        <v>0</v>
      </c>
      <c r="E167" s="23">
        <v>0</v>
      </c>
      <c r="F167" s="25">
        <v>6000</v>
      </c>
      <c r="G167" s="227">
        <f t="shared" si="108"/>
        <v>0</v>
      </c>
      <c r="H167" s="268">
        <f t="shared" si="109"/>
        <v>0</v>
      </c>
      <c r="I167" s="501"/>
      <c r="J167" s="501"/>
      <c r="K167" s="501"/>
      <c r="L167" s="522"/>
      <c r="M167" s="522"/>
      <c r="N167" s="572"/>
      <c r="O167" s="522"/>
    </row>
    <row r="168" spans="1:15" x14ac:dyDescent="0.25">
      <c r="A168" s="22">
        <v>11</v>
      </c>
      <c r="B168" s="26" t="s">
        <v>1393</v>
      </c>
      <c r="C168" s="23" t="s">
        <v>1302</v>
      </c>
      <c r="D168" s="19">
        <v>0</v>
      </c>
      <c r="E168" s="19">
        <v>0</v>
      </c>
      <c r="F168" s="19">
        <v>0</v>
      </c>
      <c r="G168" s="227">
        <f t="shared" si="108"/>
        <v>0</v>
      </c>
      <c r="H168" s="268">
        <f t="shared" si="109"/>
        <v>0</v>
      </c>
      <c r="I168" s="501"/>
      <c r="J168" s="501"/>
      <c r="K168" s="501"/>
      <c r="L168" s="522"/>
      <c r="M168" s="522"/>
      <c r="N168" s="572"/>
      <c r="O168" s="522"/>
    </row>
    <row r="169" spans="1:15" x14ac:dyDescent="0.25">
      <c r="A169" s="22">
        <v>12</v>
      </c>
      <c r="B169" s="26" t="s">
        <v>267</v>
      </c>
      <c r="C169" s="23" t="s">
        <v>1302</v>
      </c>
      <c r="D169" s="19">
        <v>0</v>
      </c>
      <c r="E169" s="19">
        <v>0</v>
      </c>
      <c r="F169" s="19">
        <v>0</v>
      </c>
      <c r="G169" s="227">
        <f t="shared" si="108"/>
        <v>0</v>
      </c>
      <c r="H169" s="268">
        <f t="shared" si="109"/>
        <v>0</v>
      </c>
      <c r="I169" s="501"/>
      <c r="J169" s="501"/>
      <c r="K169" s="501"/>
      <c r="L169" s="522"/>
      <c r="M169" s="522"/>
      <c r="N169" s="572"/>
      <c r="O169" s="522"/>
    </row>
    <row r="170" spans="1:15" x14ac:dyDescent="0.25">
      <c r="A170" s="22">
        <v>13</v>
      </c>
      <c r="B170" s="26" t="s">
        <v>268</v>
      </c>
      <c r="C170" s="23" t="s">
        <v>1302</v>
      </c>
      <c r="D170" s="19">
        <v>0</v>
      </c>
      <c r="E170" s="19">
        <v>0</v>
      </c>
      <c r="F170" s="19">
        <v>0</v>
      </c>
      <c r="G170" s="227">
        <f t="shared" si="108"/>
        <v>0</v>
      </c>
      <c r="H170" s="268">
        <f t="shared" si="109"/>
        <v>0</v>
      </c>
      <c r="I170" s="501"/>
      <c r="J170" s="501"/>
      <c r="K170" s="501"/>
      <c r="L170" s="522"/>
      <c r="M170" s="522"/>
      <c r="N170" s="572"/>
      <c r="O170" s="522"/>
    </row>
    <row r="171" spans="1:15" x14ac:dyDescent="0.25">
      <c r="A171" s="22">
        <v>14</v>
      </c>
      <c r="B171" s="26" t="s">
        <v>269</v>
      </c>
      <c r="C171" s="23" t="s">
        <v>1302</v>
      </c>
      <c r="D171" s="19">
        <v>0</v>
      </c>
      <c r="E171" s="19">
        <v>0</v>
      </c>
      <c r="F171" s="19">
        <v>0</v>
      </c>
      <c r="G171" s="227">
        <f t="shared" si="108"/>
        <v>0</v>
      </c>
      <c r="H171" s="268">
        <f t="shared" si="109"/>
        <v>0</v>
      </c>
      <c r="I171" s="501"/>
      <c r="J171" s="501"/>
      <c r="K171" s="501"/>
      <c r="L171" s="522"/>
      <c r="M171" s="522"/>
      <c r="N171" s="572"/>
      <c r="O171" s="522"/>
    </row>
    <row r="172" spans="1:15" x14ac:dyDescent="0.25">
      <c r="A172" s="22">
        <v>15</v>
      </c>
      <c r="B172" s="26" t="s">
        <v>87</v>
      </c>
      <c r="C172" s="23" t="s">
        <v>85</v>
      </c>
      <c r="D172" s="19">
        <v>0</v>
      </c>
      <c r="E172" s="19">
        <v>0</v>
      </c>
      <c r="F172" s="19">
        <v>0</v>
      </c>
      <c r="G172" s="227">
        <f t="shared" si="108"/>
        <v>0</v>
      </c>
      <c r="H172" s="268">
        <f t="shared" si="109"/>
        <v>0</v>
      </c>
      <c r="I172" s="501"/>
      <c r="J172" s="501"/>
      <c r="K172" s="501"/>
      <c r="L172" s="522"/>
      <c r="M172" s="522"/>
      <c r="N172" s="572"/>
      <c r="O172" s="522"/>
    </row>
    <row r="173" spans="1:15" x14ac:dyDescent="0.25">
      <c r="A173" s="22">
        <v>16</v>
      </c>
      <c r="B173" s="26" t="s">
        <v>1459</v>
      </c>
      <c r="C173" s="23" t="s">
        <v>85</v>
      </c>
      <c r="D173" s="19">
        <v>6</v>
      </c>
      <c r="E173" s="23">
        <v>2</v>
      </c>
      <c r="F173" s="25">
        <v>6000</v>
      </c>
      <c r="G173" s="227">
        <f t="shared" si="108"/>
        <v>72000</v>
      </c>
      <c r="H173" s="268">
        <f t="shared" si="109"/>
        <v>122.06700122067001</v>
      </c>
      <c r="I173" s="501"/>
      <c r="J173" s="501"/>
      <c r="K173" s="501"/>
      <c r="L173" s="522"/>
      <c r="M173" s="522"/>
      <c r="N173" s="572"/>
      <c r="O173" s="522"/>
    </row>
    <row r="174" spans="1:15" x14ac:dyDescent="0.25">
      <c r="A174" s="22">
        <v>17</v>
      </c>
      <c r="B174" s="26" t="s">
        <v>270</v>
      </c>
      <c r="C174" s="23" t="s">
        <v>29</v>
      </c>
      <c r="D174" s="23">
        <v>20</v>
      </c>
      <c r="E174" s="23">
        <v>10</v>
      </c>
      <c r="F174" s="25">
        <v>800</v>
      </c>
      <c r="G174" s="227">
        <f t="shared" si="108"/>
        <v>160000</v>
      </c>
      <c r="H174" s="268">
        <f t="shared" si="109"/>
        <v>271.2600027126</v>
      </c>
      <c r="I174" s="501"/>
      <c r="J174" s="501"/>
      <c r="K174" s="501"/>
      <c r="L174" s="522"/>
      <c r="M174" s="522"/>
      <c r="N174" s="572"/>
      <c r="O174" s="522"/>
    </row>
    <row r="175" spans="1:15" x14ac:dyDescent="0.25">
      <c r="A175" s="22">
        <v>18</v>
      </c>
      <c r="B175" s="26" t="s">
        <v>1304</v>
      </c>
      <c r="C175" s="23" t="s">
        <v>1305</v>
      </c>
      <c r="D175" s="23">
        <v>87</v>
      </c>
      <c r="E175" s="23">
        <v>1</v>
      </c>
      <c r="F175" s="25">
        <v>1500</v>
      </c>
      <c r="G175" s="227">
        <f t="shared" si="108"/>
        <v>130500</v>
      </c>
      <c r="H175" s="268">
        <f t="shared" si="109"/>
        <v>221.24643971246439</v>
      </c>
      <c r="I175" s="501"/>
      <c r="J175" s="501"/>
      <c r="K175" s="501"/>
      <c r="L175" s="522"/>
      <c r="M175" s="522"/>
      <c r="N175" s="572"/>
      <c r="O175" s="522"/>
    </row>
    <row r="176" spans="1:15" ht="16.5" thickBot="1" x14ac:dyDescent="0.3">
      <c r="A176" s="22">
        <v>19</v>
      </c>
      <c r="B176" s="26" t="s">
        <v>265</v>
      </c>
      <c r="C176" s="23" t="s">
        <v>1306</v>
      </c>
      <c r="D176" s="23">
        <v>0</v>
      </c>
      <c r="E176" s="23">
        <v>9</v>
      </c>
      <c r="F176" s="25">
        <v>10000</v>
      </c>
      <c r="G176" s="227">
        <f t="shared" si="108"/>
        <v>0</v>
      </c>
      <c r="H176" s="268">
        <f t="shared" si="109"/>
        <v>0</v>
      </c>
      <c r="I176" s="501"/>
      <c r="J176" s="501"/>
      <c r="K176" s="501"/>
      <c r="L176" s="522"/>
      <c r="M176" s="522"/>
      <c r="N176" s="572"/>
      <c r="O176" s="522"/>
    </row>
    <row r="177" spans="1:15" ht="19.149999999999999" customHeight="1" thickBot="1" x14ac:dyDescent="0.3">
      <c r="A177" s="780" t="s">
        <v>525</v>
      </c>
      <c r="B177" s="781"/>
      <c r="C177" s="781"/>
      <c r="D177" s="781"/>
      <c r="E177" s="783"/>
      <c r="F177" s="348"/>
      <c r="G177" s="349">
        <f>SUM(G158:G176)</f>
        <v>20838000</v>
      </c>
      <c r="H177" s="350">
        <f>SUM(H158:H176)</f>
        <v>35328.224603282251</v>
      </c>
      <c r="I177" s="263">
        <f>I158+I160</f>
        <v>426000</v>
      </c>
      <c r="J177" s="263">
        <f>J158+J160</f>
        <v>227200</v>
      </c>
      <c r="K177" s="501"/>
      <c r="L177" s="522"/>
      <c r="M177" s="522"/>
      <c r="N177" s="572"/>
      <c r="O177" s="522"/>
    </row>
    <row r="178" spans="1:15" ht="18" x14ac:dyDescent="0.25">
      <c r="A178" s="231"/>
      <c r="B178" s="234" t="s">
        <v>399</v>
      </c>
      <c r="C178" s="232"/>
      <c r="D178" s="232"/>
      <c r="E178" s="232"/>
      <c r="F178" s="232"/>
      <c r="G178" s="232"/>
      <c r="H178" s="232"/>
      <c r="I178" s="501"/>
      <c r="J178" s="501"/>
      <c r="K178" s="501"/>
      <c r="L178" s="522"/>
      <c r="M178" s="522"/>
      <c r="N178" s="572"/>
      <c r="O178" s="522"/>
    </row>
    <row r="179" spans="1:15" ht="18" x14ac:dyDescent="0.25">
      <c r="A179" s="231"/>
      <c r="B179" s="234" t="s">
        <v>400</v>
      </c>
      <c r="C179" s="232"/>
      <c r="D179" s="232"/>
      <c r="E179" s="232"/>
      <c r="F179" s="232"/>
      <c r="G179" s="232"/>
      <c r="H179" s="232"/>
      <c r="I179" s="501"/>
      <c r="J179" s="501"/>
      <c r="K179" s="501"/>
      <c r="L179" s="522"/>
      <c r="M179" s="522"/>
      <c r="N179" s="572"/>
      <c r="O179" s="522"/>
    </row>
    <row r="180" spans="1:15" ht="28.5" x14ac:dyDescent="0.25">
      <c r="A180" s="188">
        <v>1</v>
      </c>
      <c r="B180" s="189" t="s">
        <v>1049</v>
      </c>
      <c r="C180" s="225" t="s">
        <v>28</v>
      </c>
      <c r="D180" s="226">
        <v>1</v>
      </c>
      <c r="E180" s="24">
        <v>3</v>
      </c>
      <c r="F180" s="227">
        <v>8000</v>
      </c>
      <c r="G180" s="227">
        <f>D180*E180*F180</f>
        <v>24000</v>
      </c>
      <c r="H180" s="268">
        <f t="shared" ref="H180:H212" si="110">G180/589.84</f>
        <v>40.689000406890003</v>
      </c>
      <c r="I180" s="642">
        <f t="shared" ref="I180:I208" si="111">G180*0.03</f>
        <v>720</v>
      </c>
      <c r="J180" s="642">
        <f>550*D180</f>
        <v>550</v>
      </c>
      <c r="K180" s="642">
        <f t="shared" ref="K180:K208" si="112">G180/D180</f>
        <v>24000</v>
      </c>
      <c r="L180" s="522"/>
      <c r="M180" s="522"/>
      <c r="N180" s="572"/>
      <c r="O180" s="522"/>
    </row>
    <row r="181" spans="1:15" ht="28.5" x14ac:dyDescent="0.25">
      <c r="A181" s="188">
        <v>2</v>
      </c>
      <c r="B181" s="189" t="s">
        <v>1039</v>
      </c>
      <c r="C181" s="225" t="s">
        <v>28</v>
      </c>
      <c r="D181" s="226">
        <v>1</v>
      </c>
      <c r="E181" s="24">
        <v>3</v>
      </c>
      <c r="F181" s="227">
        <v>8000</v>
      </c>
      <c r="G181" s="227">
        <f t="shared" ref="G181:G212" si="113">D181*E181*F181</f>
        <v>24000</v>
      </c>
      <c r="H181" s="268">
        <f t="shared" si="110"/>
        <v>40.689000406890003</v>
      </c>
      <c r="I181" s="642">
        <f t="shared" si="111"/>
        <v>720</v>
      </c>
      <c r="J181" s="642">
        <f t="shared" ref="J181:J186" si="114">550*D181</f>
        <v>550</v>
      </c>
      <c r="K181" s="642">
        <f t="shared" si="112"/>
        <v>24000</v>
      </c>
      <c r="L181" s="522"/>
      <c r="M181" s="522"/>
      <c r="N181" s="572"/>
      <c r="O181" s="522"/>
    </row>
    <row r="182" spans="1:15" ht="28.5" x14ac:dyDescent="0.25">
      <c r="A182" s="188">
        <v>3</v>
      </c>
      <c r="B182" s="189" t="s">
        <v>1040</v>
      </c>
      <c r="C182" s="225" t="s">
        <v>28</v>
      </c>
      <c r="D182" s="226">
        <v>1</v>
      </c>
      <c r="E182" s="24">
        <v>3</v>
      </c>
      <c r="F182" s="227">
        <v>8000</v>
      </c>
      <c r="G182" s="227">
        <f t="shared" si="113"/>
        <v>24000</v>
      </c>
      <c r="H182" s="268">
        <f t="shared" si="110"/>
        <v>40.689000406890003</v>
      </c>
      <c r="I182" s="642">
        <f t="shared" si="111"/>
        <v>720</v>
      </c>
      <c r="J182" s="642">
        <f t="shared" si="114"/>
        <v>550</v>
      </c>
      <c r="K182" s="642">
        <f t="shared" si="112"/>
        <v>24000</v>
      </c>
      <c r="L182" s="522"/>
      <c r="M182" s="522"/>
      <c r="N182" s="572"/>
      <c r="O182" s="522"/>
    </row>
    <row r="183" spans="1:15" ht="28.5" x14ac:dyDescent="0.25">
      <c r="A183" s="188">
        <v>4</v>
      </c>
      <c r="B183" s="189" t="s">
        <v>1041</v>
      </c>
      <c r="C183" s="225" t="s">
        <v>28</v>
      </c>
      <c r="D183" s="226">
        <v>1</v>
      </c>
      <c r="E183" s="24">
        <v>3</v>
      </c>
      <c r="F183" s="227">
        <v>8000</v>
      </c>
      <c r="G183" s="227">
        <f t="shared" si="113"/>
        <v>24000</v>
      </c>
      <c r="H183" s="268">
        <f t="shared" si="110"/>
        <v>40.689000406890003</v>
      </c>
      <c r="I183" s="642">
        <f t="shared" si="111"/>
        <v>720</v>
      </c>
      <c r="J183" s="642">
        <f t="shared" si="114"/>
        <v>550</v>
      </c>
      <c r="K183" s="642">
        <f t="shared" si="112"/>
        <v>24000</v>
      </c>
      <c r="L183" s="522"/>
      <c r="M183" s="522"/>
      <c r="N183" s="572"/>
      <c r="O183" s="522"/>
    </row>
    <row r="184" spans="1:15" ht="28.5" x14ac:dyDescent="0.25">
      <c r="A184" s="188">
        <v>5</v>
      </c>
      <c r="B184" s="189" t="s">
        <v>1042</v>
      </c>
      <c r="C184" s="225" t="s">
        <v>28</v>
      </c>
      <c r="D184" s="226">
        <v>1</v>
      </c>
      <c r="E184" s="24">
        <v>3</v>
      </c>
      <c r="F184" s="227">
        <v>8000</v>
      </c>
      <c r="G184" s="227">
        <f t="shared" si="113"/>
        <v>24000</v>
      </c>
      <c r="H184" s="268">
        <f t="shared" si="110"/>
        <v>40.689000406890003</v>
      </c>
      <c r="I184" s="642">
        <f t="shared" si="111"/>
        <v>720</v>
      </c>
      <c r="J184" s="642">
        <f t="shared" si="114"/>
        <v>550</v>
      </c>
      <c r="K184" s="642">
        <f t="shared" si="112"/>
        <v>24000</v>
      </c>
      <c r="L184" s="522"/>
      <c r="M184" s="522"/>
      <c r="N184" s="572"/>
      <c r="O184" s="522"/>
    </row>
    <row r="185" spans="1:15" ht="28.5" x14ac:dyDescent="0.25">
      <c r="A185" s="188">
        <v>6</v>
      </c>
      <c r="B185" s="189" t="s">
        <v>1043</v>
      </c>
      <c r="C185" s="225" t="s">
        <v>28</v>
      </c>
      <c r="D185" s="226">
        <v>1</v>
      </c>
      <c r="E185" s="24">
        <v>3</v>
      </c>
      <c r="F185" s="227">
        <v>8000</v>
      </c>
      <c r="G185" s="227">
        <f t="shared" si="113"/>
        <v>24000</v>
      </c>
      <c r="H185" s="268">
        <f t="shared" si="110"/>
        <v>40.689000406890003</v>
      </c>
      <c r="I185" s="642">
        <f t="shared" si="111"/>
        <v>720</v>
      </c>
      <c r="J185" s="642">
        <f t="shared" si="114"/>
        <v>550</v>
      </c>
      <c r="K185" s="642">
        <f t="shared" si="112"/>
        <v>24000</v>
      </c>
      <c r="L185" s="522"/>
      <c r="M185" s="522"/>
      <c r="N185" s="572"/>
      <c r="O185" s="522"/>
    </row>
    <row r="186" spans="1:15" ht="28.5" x14ac:dyDescent="0.25">
      <c r="A186" s="188">
        <v>7</v>
      </c>
      <c r="B186" s="189" t="s">
        <v>1044</v>
      </c>
      <c r="C186" s="225" t="s">
        <v>28</v>
      </c>
      <c r="D186" s="226">
        <v>1</v>
      </c>
      <c r="E186" s="24">
        <v>3</v>
      </c>
      <c r="F186" s="227">
        <v>8000</v>
      </c>
      <c r="G186" s="227">
        <f t="shared" si="113"/>
        <v>24000</v>
      </c>
      <c r="H186" s="268">
        <f t="shared" si="110"/>
        <v>40.689000406890003</v>
      </c>
      <c r="I186" s="642">
        <f t="shared" si="111"/>
        <v>720</v>
      </c>
      <c r="J186" s="642">
        <f t="shared" si="114"/>
        <v>550</v>
      </c>
      <c r="K186" s="642">
        <f t="shared" si="112"/>
        <v>24000</v>
      </c>
      <c r="L186" s="522"/>
      <c r="M186" s="522"/>
      <c r="N186" s="572"/>
      <c r="O186" s="522"/>
    </row>
    <row r="187" spans="1:15" ht="28.5" x14ac:dyDescent="0.25">
      <c r="A187" s="188">
        <v>8</v>
      </c>
      <c r="B187" s="189" t="s">
        <v>1045</v>
      </c>
      <c r="C187" s="225" t="s">
        <v>28</v>
      </c>
      <c r="D187" s="226">
        <v>1</v>
      </c>
      <c r="E187" s="24">
        <v>3</v>
      </c>
      <c r="F187" s="227">
        <v>8000</v>
      </c>
      <c r="G187" s="227">
        <f t="shared" si="113"/>
        <v>24000</v>
      </c>
      <c r="H187" s="268">
        <f t="shared" si="110"/>
        <v>40.689000406890003</v>
      </c>
      <c r="I187" s="642">
        <f t="shared" si="111"/>
        <v>720</v>
      </c>
      <c r="J187" s="642">
        <f>450*D187</f>
        <v>450</v>
      </c>
      <c r="K187" s="642">
        <f>G187/D187</f>
        <v>24000</v>
      </c>
      <c r="L187" s="522"/>
      <c r="M187" s="522"/>
      <c r="N187" s="572"/>
      <c r="O187" s="522"/>
    </row>
    <row r="188" spans="1:15" ht="28.5" x14ac:dyDescent="0.25">
      <c r="A188" s="188">
        <v>9</v>
      </c>
      <c r="B188" s="189" t="s">
        <v>1046</v>
      </c>
      <c r="C188" s="225" t="s">
        <v>28</v>
      </c>
      <c r="D188" s="226">
        <v>1</v>
      </c>
      <c r="E188" s="24">
        <v>3</v>
      </c>
      <c r="F188" s="227">
        <v>8000</v>
      </c>
      <c r="G188" s="227">
        <f t="shared" si="113"/>
        <v>24000</v>
      </c>
      <c r="H188" s="268">
        <f t="shared" si="110"/>
        <v>40.689000406890003</v>
      </c>
      <c r="I188" s="642">
        <f t="shared" si="111"/>
        <v>720</v>
      </c>
      <c r="J188" s="642">
        <f>550*D188</f>
        <v>550</v>
      </c>
      <c r="K188" s="642">
        <f t="shared" si="112"/>
        <v>24000</v>
      </c>
      <c r="L188" s="522"/>
      <c r="M188" s="522"/>
      <c r="N188" s="572"/>
      <c r="O188" s="522"/>
    </row>
    <row r="189" spans="1:15" ht="28.5" x14ac:dyDescent="0.25">
      <c r="A189" s="188">
        <v>10</v>
      </c>
      <c r="B189" s="189" t="s">
        <v>1047</v>
      </c>
      <c r="C189" s="225" t="s">
        <v>28</v>
      </c>
      <c r="D189" s="226">
        <v>1</v>
      </c>
      <c r="E189" s="24">
        <v>3</v>
      </c>
      <c r="F189" s="227">
        <v>8000</v>
      </c>
      <c r="G189" s="227">
        <f t="shared" si="113"/>
        <v>24000</v>
      </c>
      <c r="H189" s="268">
        <f t="shared" si="110"/>
        <v>40.689000406890003</v>
      </c>
      <c r="I189" s="642">
        <f t="shared" si="111"/>
        <v>720</v>
      </c>
      <c r="J189" s="642">
        <f t="shared" ref="J189:J198" si="115">550*D189</f>
        <v>550</v>
      </c>
      <c r="K189" s="642">
        <f t="shared" si="112"/>
        <v>24000</v>
      </c>
      <c r="L189" s="522"/>
      <c r="M189" s="522"/>
      <c r="N189" s="572"/>
      <c r="O189" s="522"/>
    </row>
    <row r="190" spans="1:15" x14ac:dyDescent="0.25">
      <c r="A190" s="188">
        <v>11</v>
      </c>
      <c r="B190" s="189" t="s">
        <v>1048</v>
      </c>
      <c r="C190" s="225" t="s">
        <v>28</v>
      </c>
      <c r="D190" s="226">
        <v>1</v>
      </c>
      <c r="E190" s="24">
        <v>3</v>
      </c>
      <c r="F190" s="227">
        <v>5000</v>
      </c>
      <c r="G190" s="227">
        <f t="shared" si="113"/>
        <v>15000</v>
      </c>
      <c r="H190" s="268">
        <f t="shared" si="110"/>
        <v>25.43062525430625</v>
      </c>
      <c r="I190" s="642">
        <f t="shared" si="111"/>
        <v>450</v>
      </c>
      <c r="J190" s="642">
        <f>450*D190</f>
        <v>450</v>
      </c>
      <c r="K190" s="642">
        <f t="shared" si="112"/>
        <v>15000</v>
      </c>
      <c r="L190" s="522"/>
      <c r="M190" s="522"/>
      <c r="N190" s="572"/>
      <c r="O190" s="522"/>
    </row>
    <row r="191" spans="1:15" ht="28.5" x14ac:dyDescent="0.25">
      <c r="A191" s="188">
        <v>12</v>
      </c>
      <c r="B191" s="189" t="s">
        <v>1050</v>
      </c>
      <c r="C191" s="225" t="s">
        <v>28</v>
      </c>
      <c r="D191" s="226">
        <v>1</v>
      </c>
      <c r="E191" s="24">
        <v>3</v>
      </c>
      <c r="F191" s="227">
        <v>8000</v>
      </c>
      <c r="G191" s="227">
        <f t="shared" si="113"/>
        <v>24000</v>
      </c>
      <c r="H191" s="268">
        <f t="shared" si="110"/>
        <v>40.689000406890003</v>
      </c>
      <c r="I191" s="642">
        <f t="shared" si="111"/>
        <v>720</v>
      </c>
      <c r="J191" s="642">
        <f t="shared" si="115"/>
        <v>550</v>
      </c>
      <c r="K191" s="642">
        <f t="shared" si="112"/>
        <v>24000</v>
      </c>
      <c r="L191" s="522"/>
      <c r="M191" s="522"/>
      <c r="N191" s="572"/>
      <c r="O191" s="522"/>
    </row>
    <row r="192" spans="1:15" ht="28.5" x14ac:dyDescent="0.25">
      <c r="A192" s="188">
        <v>13</v>
      </c>
      <c r="B192" s="189" t="s">
        <v>1051</v>
      </c>
      <c r="C192" s="225" t="s">
        <v>28</v>
      </c>
      <c r="D192" s="226">
        <v>1</v>
      </c>
      <c r="E192" s="24">
        <v>3</v>
      </c>
      <c r="F192" s="227">
        <v>8000</v>
      </c>
      <c r="G192" s="227">
        <f t="shared" si="113"/>
        <v>24000</v>
      </c>
      <c r="H192" s="268">
        <f t="shared" si="110"/>
        <v>40.689000406890003</v>
      </c>
      <c r="I192" s="642">
        <f t="shared" si="111"/>
        <v>720</v>
      </c>
      <c r="J192" s="642">
        <f t="shared" si="115"/>
        <v>550</v>
      </c>
      <c r="K192" s="642">
        <f t="shared" si="112"/>
        <v>24000</v>
      </c>
      <c r="L192" s="522"/>
      <c r="M192" s="522"/>
      <c r="N192" s="572"/>
      <c r="O192" s="522"/>
    </row>
    <row r="193" spans="1:15" ht="28.5" x14ac:dyDescent="0.25">
      <c r="A193" s="188">
        <v>14</v>
      </c>
      <c r="B193" s="189" t="s">
        <v>1052</v>
      </c>
      <c r="C193" s="225" t="s">
        <v>28</v>
      </c>
      <c r="D193" s="226">
        <v>1</v>
      </c>
      <c r="E193" s="24">
        <v>3</v>
      </c>
      <c r="F193" s="227">
        <v>8000</v>
      </c>
      <c r="G193" s="227">
        <f t="shared" si="113"/>
        <v>24000</v>
      </c>
      <c r="H193" s="268">
        <f t="shared" si="110"/>
        <v>40.689000406890003</v>
      </c>
      <c r="I193" s="642">
        <f t="shared" si="111"/>
        <v>720</v>
      </c>
      <c r="J193" s="642">
        <f t="shared" si="115"/>
        <v>550</v>
      </c>
      <c r="K193" s="642">
        <f t="shared" si="112"/>
        <v>24000</v>
      </c>
      <c r="L193" s="522"/>
      <c r="M193" s="522"/>
      <c r="N193" s="572"/>
      <c r="O193" s="522"/>
    </row>
    <row r="194" spans="1:15" ht="28.5" x14ac:dyDescent="0.25">
      <c r="A194" s="188">
        <v>15</v>
      </c>
      <c r="B194" s="189" t="s">
        <v>1053</v>
      </c>
      <c r="C194" s="225" t="s">
        <v>28</v>
      </c>
      <c r="D194" s="226">
        <v>1</v>
      </c>
      <c r="E194" s="24">
        <v>3</v>
      </c>
      <c r="F194" s="227">
        <v>8000</v>
      </c>
      <c r="G194" s="227">
        <f t="shared" si="113"/>
        <v>24000</v>
      </c>
      <c r="H194" s="268">
        <f t="shared" si="110"/>
        <v>40.689000406890003</v>
      </c>
      <c r="I194" s="642">
        <f t="shared" si="111"/>
        <v>720</v>
      </c>
      <c r="J194" s="642">
        <f t="shared" si="115"/>
        <v>550</v>
      </c>
      <c r="K194" s="642">
        <f t="shared" si="112"/>
        <v>24000</v>
      </c>
      <c r="L194" s="522"/>
      <c r="M194" s="522"/>
      <c r="N194" s="572"/>
      <c r="O194" s="522"/>
    </row>
    <row r="195" spans="1:15" ht="28.5" x14ac:dyDescent="0.25">
      <c r="A195" s="188">
        <v>16</v>
      </c>
      <c r="B195" s="189" t="s">
        <v>1054</v>
      </c>
      <c r="C195" s="225" t="s">
        <v>28</v>
      </c>
      <c r="D195" s="226">
        <v>1</v>
      </c>
      <c r="E195" s="24">
        <v>3</v>
      </c>
      <c r="F195" s="227">
        <v>8000</v>
      </c>
      <c r="G195" s="227">
        <f t="shared" si="113"/>
        <v>24000</v>
      </c>
      <c r="H195" s="268">
        <f t="shared" si="110"/>
        <v>40.689000406890003</v>
      </c>
      <c r="I195" s="642">
        <f t="shared" si="111"/>
        <v>720</v>
      </c>
      <c r="J195" s="642">
        <f t="shared" si="115"/>
        <v>550</v>
      </c>
      <c r="K195" s="642">
        <f t="shared" si="112"/>
        <v>24000</v>
      </c>
      <c r="L195" s="522"/>
      <c r="M195" s="522"/>
      <c r="N195" s="572"/>
      <c r="O195" s="522"/>
    </row>
    <row r="196" spans="1:15" ht="28.5" x14ac:dyDescent="0.25">
      <c r="A196" s="188">
        <v>17</v>
      </c>
      <c r="B196" s="189" t="s">
        <v>1055</v>
      </c>
      <c r="C196" s="225" t="s">
        <v>28</v>
      </c>
      <c r="D196" s="226">
        <v>1</v>
      </c>
      <c r="E196" s="24">
        <v>3</v>
      </c>
      <c r="F196" s="227">
        <v>8000</v>
      </c>
      <c r="G196" s="227">
        <f t="shared" si="113"/>
        <v>24000</v>
      </c>
      <c r="H196" s="268">
        <f t="shared" si="110"/>
        <v>40.689000406890003</v>
      </c>
      <c r="I196" s="642">
        <f t="shared" si="111"/>
        <v>720</v>
      </c>
      <c r="J196" s="642">
        <f t="shared" si="115"/>
        <v>550</v>
      </c>
      <c r="K196" s="642">
        <f t="shared" si="112"/>
        <v>24000</v>
      </c>
      <c r="L196" s="522"/>
      <c r="M196" s="522"/>
      <c r="N196" s="572"/>
      <c r="O196" s="522"/>
    </row>
    <row r="197" spans="1:15" ht="28.5" x14ac:dyDescent="0.25">
      <c r="A197" s="188">
        <v>18</v>
      </c>
      <c r="B197" s="189" t="s">
        <v>1056</v>
      </c>
      <c r="C197" s="225" t="s">
        <v>28</v>
      </c>
      <c r="D197" s="226">
        <v>1</v>
      </c>
      <c r="E197" s="24">
        <v>3</v>
      </c>
      <c r="F197" s="227">
        <v>8000</v>
      </c>
      <c r="G197" s="227">
        <f t="shared" si="113"/>
        <v>24000</v>
      </c>
      <c r="H197" s="268">
        <f t="shared" si="110"/>
        <v>40.689000406890003</v>
      </c>
      <c r="I197" s="642">
        <f t="shared" si="111"/>
        <v>720</v>
      </c>
      <c r="J197" s="642">
        <f t="shared" si="115"/>
        <v>550</v>
      </c>
      <c r="K197" s="642">
        <f t="shared" si="112"/>
        <v>24000</v>
      </c>
      <c r="L197" s="522"/>
      <c r="M197" s="522"/>
      <c r="N197" s="572"/>
      <c r="O197" s="522"/>
    </row>
    <row r="198" spans="1:15" ht="28.5" x14ac:dyDescent="0.25">
      <c r="A198" s="188">
        <v>19</v>
      </c>
      <c r="B198" s="189" t="s">
        <v>1057</v>
      </c>
      <c r="C198" s="225" t="s">
        <v>28</v>
      </c>
      <c r="D198" s="226">
        <v>1</v>
      </c>
      <c r="E198" s="24">
        <v>3</v>
      </c>
      <c r="F198" s="227">
        <v>8000</v>
      </c>
      <c r="G198" s="227">
        <f t="shared" si="113"/>
        <v>24000</v>
      </c>
      <c r="H198" s="268">
        <f t="shared" si="110"/>
        <v>40.689000406890003</v>
      </c>
      <c r="I198" s="642">
        <f t="shared" si="111"/>
        <v>720</v>
      </c>
      <c r="J198" s="642">
        <f t="shared" si="115"/>
        <v>550</v>
      </c>
      <c r="K198" s="642">
        <f t="shared" si="112"/>
        <v>24000</v>
      </c>
      <c r="L198" s="522"/>
      <c r="M198" s="522"/>
      <c r="N198" s="572"/>
      <c r="O198" s="522"/>
    </row>
    <row r="199" spans="1:15" x14ac:dyDescent="0.25">
      <c r="A199" s="188">
        <v>20</v>
      </c>
      <c r="B199" s="189" t="s">
        <v>318</v>
      </c>
      <c r="C199" s="225" t="s">
        <v>28</v>
      </c>
      <c r="D199" s="226">
        <v>6</v>
      </c>
      <c r="E199" s="24">
        <v>3</v>
      </c>
      <c r="F199" s="227">
        <v>5000</v>
      </c>
      <c r="G199" s="227">
        <f t="shared" si="113"/>
        <v>90000</v>
      </c>
      <c r="H199" s="268">
        <f t="shared" si="110"/>
        <v>152.5837515258375</v>
      </c>
      <c r="I199" s="642">
        <f t="shared" si="111"/>
        <v>2700</v>
      </c>
      <c r="J199" s="642">
        <f>450*D199</f>
        <v>2700</v>
      </c>
      <c r="K199" s="642">
        <f t="shared" si="112"/>
        <v>15000</v>
      </c>
      <c r="L199" s="522"/>
      <c r="M199" s="522"/>
      <c r="N199" s="572"/>
      <c r="O199" s="522"/>
    </row>
    <row r="200" spans="1:15" x14ac:dyDescent="0.25">
      <c r="A200" s="188">
        <v>21</v>
      </c>
      <c r="B200" s="189" t="s">
        <v>319</v>
      </c>
      <c r="C200" s="225" t="s">
        <v>28</v>
      </c>
      <c r="D200" s="226">
        <v>2</v>
      </c>
      <c r="E200" s="24">
        <v>3</v>
      </c>
      <c r="F200" s="227">
        <v>5000</v>
      </c>
      <c r="G200" s="227">
        <f t="shared" si="113"/>
        <v>30000</v>
      </c>
      <c r="H200" s="268">
        <f t="shared" si="110"/>
        <v>50.8612505086125</v>
      </c>
      <c r="I200" s="642">
        <f t="shared" si="111"/>
        <v>900</v>
      </c>
      <c r="J200" s="642">
        <f t="shared" ref="J200:J204" si="116">450*D200</f>
        <v>900</v>
      </c>
      <c r="K200" s="642">
        <f t="shared" si="112"/>
        <v>15000</v>
      </c>
      <c r="L200" s="522"/>
      <c r="M200" s="522"/>
      <c r="N200" s="572"/>
      <c r="O200" s="522"/>
    </row>
    <row r="201" spans="1:15" x14ac:dyDescent="0.25">
      <c r="A201" s="22">
        <v>22</v>
      </c>
      <c r="B201" s="189" t="s">
        <v>1471</v>
      </c>
      <c r="C201" s="225" t="s">
        <v>28</v>
      </c>
      <c r="D201" s="226">
        <v>1</v>
      </c>
      <c r="E201" s="226">
        <v>3</v>
      </c>
      <c r="F201" s="227">
        <v>5000</v>
      </c>
      <c r="G201" s="25">
        <f t="shared" si="113"/>
        <v>15000</v>
      </c>
      <c r="H201" s="268">
        <f t="shared" si="110"/>
        <v>25.43062525430625</v>
      </c>
      <c r="I201" s="642">
        <f t="shared" si="111"/>
        <v>450</v>
      </c>
      <c r="J201" s="642">
        <f t="shared" si="116"/>
        <v>450</v>
      </c>
      <c r="K201" s="642">
        <f t="shared" si="112"/>
        <v>15000</v>
      </c>
      <c r="L201" s="12"/>
      <c r="M201" s="12"/>
      <c r="N201" s="524"/>
      <c r="O201" s="522"/>
    </row>
    <row r="202" spans="1:15" x14ac:dyDescent="0.25">
      <c r="A202" s="22">
        <v>23</v>
      </c>
      <c r="B202" s="189" t="s">
        <v>1472</v>
      </c>
      <c r="C202" s="225" t="s">
        <v>28</v>
      </c>
      <c r="D202" s="226">
        <v>1</v>
      </c>
      <c r="E202" s="226">
        <v>3</v>
      </c>
      <c r="F202" s="227">
        <v>5000</v>
      </c>
      <c r="G202" s="25">
        <f t="shared" si="113"/>
        <v>15000</v>
      </c>
      <c r="H202" s="268">
        <f t="shared" si="110"/>
        <v>25.43062525430625</v>
      </c>
      <c r="I202" s="642">
        <f t="shared" si="111"/>
        <v>450</v>
      </c>
      <c r="J202" s="642">
        <f t="shared" si="116"/>
        <v>450</v>
      </c>
      <c r="K202" s="642">
        <f t="shared" si="112"/>
        <v>15000</v>
      </c>
      <c r="L202" s="12"/>
      <c r="M202" s="12"/>
      <c r="N202" s="524"/>
      <c r="O202" s="522"/>
    </row>
    <row r="203" spans="1:15" x14ac:dyDescent="0.25">
      <c r="A203" s="188">
        <v>24</v>
      </c>
      <c r="B203" s="189" t="s">
        <v>320</v>
      </c>
      <c r="C203" s="225" t="s">
        <v>28</v>
      </c>
      <c r="D203" s="226">
        <v>1</v>
      </c>
      <c r="E203" s="24">
        <v>3</v>
      </c>
      <c r="F203" s="227">
        <v>5000</v>
      </c>
      <c r="G203" s="227">
        <f t="shared" si="113"/>
        <v>15000</v>
      </c>
      <c r="H203" s="268">
        <f t="shared" si="110"/>
        <v>25.43062525430625</v>
      </c>
      <c r="I203" s="642">
        <f t="shared" si="111"/>
        <v>450</v>
      </c>
      <c r="J203" s="642">
        <f t="shared" si="116"/>
        <v>450</v>
      </c>
      <c r="K203" s="642">
        <f t="shared" si="112"/>
        <v>15000</v>
      </c>
      <c r="L203" s="522"/>
      <c r="M203" s="522"/>
      <c r="N203" s="572"/>
      <c r="O203" s="522"/>
    </row>
    <row r="204" spans="1:15" x14ac:dyDescent="0.25">
      <c r="A204" s="188">
        <v>25</v>
      </c>
      <c r="B204" s="189" t="s">
        <v>321</v>
      </c>
      <c r="C204" s="225" t="s">
        <v>28</v>
      </c>
      <c r="D204" s="226">
        <v>1</v>
      </c>
      <c r="E204" s="24">
        <v>3</v>
      </c>
      <c r="F204" s="227">
        <v>5000</v>
      </c>
      <c r="G204" s="227">
        <f t="shared" si="113"/>
        <v>15000</v>
      </c>
      <c r="H204" s="268">
        <f t="shared" si="110"/>
        <v>25.43062525430625</v>
      </c>
      <c r="I204" s="642">
        <f t="shared" si="111"/>
        <v>450</v>
      </c>
      <c r="J204" s="642">
        <f t="shared" si="116"/>
        <v>450</v>
      </c>
      <c r="K204" s="642">
        <f t="shared" si="112"/>
        <v>15000</v>
      </c>
      <c r="L204" s="522"/>
      <c r="M204" s="522"/>
      <c r="N204" s="572"/>
      <c r="O204" s="522"/>
    </row>
    <row r="205" spans="1:15" x14ac:dyDescent="0.25">
      <c r="A205" s="188">
        <v>26</v>
      </c>
      <c r="B205" s="189" t="s">
        <v>1360</v>
      </c>
      <c r="C205" s="225" t="s">
        <v>28</v>
      </c>
      <c r="D205" s="226">
        <v>3</v>
      </c>
      <c r="E205" s="24">
        <v>3</v>
      </c>
      <c r="F205" s="227">
        <v>12500</v>
      </c>
      <c r="G205" s="227">
        <f t="shared" si="113"/>
        <v>112500</v>
      </c>
      <c r="H205" s="268">
        <f t="shared" si="110"/>
        <v>190.72968940729689</v>
      </c>
      <c r="I205" s="642">
        <f t="shared" si="111"/>
        <v>3375</v>
      </c>
      <c r="J205" s="642">
        <f>1050*D205</f>
        <v>3150</v>
      </c>
      <c r="K205" s="642">
        <f t="shared" si="112"/>
        <v>37500</v>
      </c>
      <c r="L205" s="522"/>
      <c r="M205" s="522"/>
      <c r="N205" s="572"/>
      <c r="O205" s="522"/>
    </row>
    <row r="206" spans="1:15" x14ac:dyDescent="0.25">
      <c r="A206" s="188">
        <v>27</v>
      </c>
      <c r="B206" s="189" t="s">
        <v>756</v>
      </c>
      <c r="C206" s="225" t="s">
        <v>28</v>
      </c>
      <c r="D206" s="226">
        <v>3</v>
      </c>
      <c r="E206" s="24">
        <v>3</v>
      </c>
      <c r="F206" s="227">
        <v>25000</v>
      </c>
      <c r="G206" s="227">
        <f t="shared" si="113"/>
        <v>225000</v>
      </c>
      <c r="H206" s="268">
        <f t="shared" si="110"/>
        <v>381.45937881459378</v>
      </c>
      <c r="I206" s="642">
        <f t="shared" si="111"/>
        <v>6750</v>
      </c>
      <c r="J206" s="642">
        <f>1600*D206</f>
        <v>4800</v>
      </c>
      <c r="K206" s="642">
        <f t="shared" si="112"/>
        <v>75000</v>
      </c>
      <c r="L206" s="522"/>
      <c r="M206" s="522"/>
      <c r="N206" s="572"/>
      <c r="O206" s="522"/>
    </row>
    <row r="207" spans="1:15" x14ac:dyDescent="0.25">
      <c r="A207" s="188">
        <v>28</v>
      </c>
      <c r="B207" s="26" t="s">
        <v>271</v>
      </c>
      <c r="C207" s="23" t="s">
        <v>28</v>
      </c>
      <c r="D207" s="24">
        <v>2</v>
      </c>
      <c r="E207" s="24">
        <v>3</v>
      </c>
      <c r="F207" s="25">
        <v>0</v>
      </c>
      <c r="G207" s="227">
        <f t="shared" si="113"/>
        <v>0</v>
      </c>
      <c r="H207" s="268">
        <f t="shared" si="110"/>
        <v>0</v>
      </c>
      <c r="I207" s="642">
        <f t="shared" si="111"/>
        <v>0</v>
      </c>
      <c r="J207" s="642">
        <v>0</v>
      </c>
      <c r="K207" s="642">
        <f t="shared" si="112"/>
        <v>0</v>
      </c>
      <c r="L207" s="522"/>
      <c r="M207" s="522"/>
      <c r="N207" s="572"/>
      <c r="O207" s="522"/>
    </row>
    <row r="208" spans="1:15" x14ac:dyDescent="0.25">
      <c r="A208" s="188">
        <v>29</v>
      </c>
      <c r="B208" s="189" t="s">
        <v>409</v>
      </c>
      <c r="C208" s="225" t="s">
        <v>28</v>
      </c>
      <c r="D208" s="226">
        <v>1</v>
      </c>
      <c r="E208" s="24">
        <v>3</v>
      </c>
      <c r="F208" s="227">
        <v>3000</v>
      </c>
      <c r="G208" s="227">
        <f t="shared" si="113"/>
        <v>9000</v>
      </c>
      <c r="H208" s="268">
        <f t="shared" si="110"/>
        <v>15.258375152583751</v>
      </c>
      <c r="I208" s="642">
        <f t="shared" si="111"/>
        <v>270</v>
      </c>
      <c r="J208" s="642">
        <f>350*D208</f>
        <v>350</v>
      </c>
      <c r="K208" s="642">
        <f t="shared" si="112"/>
        <v>9000</v>
      </c>
      <c r="L208" s="522"/>
      <c r="M208" s="522"/>
      <c r="N208" s="572"/>
      <c r="O208" s="522"/>
    </row>
    <row r="209" spans="1:15" x14ac:dyDescent="0.25">
      <c r="A209" s="188">
        <v>30</v>
      </c>
      <c r="B209" s="189" t="s">
        <v>758</v>
      </c>
      <c r="C209" s="225" t="s">
        <v>28</v>
      </c>
      <c r="D209" s="226">
        <f>SUM(D180:D208)</f>
        <v>40</v>
      </c>
      <c r="E209" s="24">
        <v>3</v>
      </c>
      <c r="F209" s="227">
        <v>6500</v>
      </c>
      <c r="G209" s="227">
        <f t="shared" si="113"/>
        <v>780000</v>
      </c>
      <c r="H209" s="268">
        <f t="shared" si="110"/>
        <v>1322.3925132239251</v>
      </c>
      <c r="I209" s="642">
        <f t="shared" ref="I209" si="117">G209*0.03</f>
        <v>23400</v>
      </c>
      <c r="J209" s="642">
        <f>6400*1</f>
        <v>6400</v>
      </c>
      <c r="K209" s="642">
        <f>G209</f>
        <v>780000</v>
      </c>
      <c r="L209" s="522"/>
      <c r="M209" s="522"/>
      <c r="N209" s="572"/>
      <c r="O209" s="522"/>
    </row>
    <row r="210" spans="1:15" x14ac:dyDescent="0.25">
      <c r="A210" s="188">
        <v>31</v>
      </c>
      <c r="B210" s="189" t="s">
        <v>759</v>
      </c>
      <c r="C210" s="225" t="s">
        <v>28</v>
      </c>
      <c r="D210" s="226">
        <v>90</v>
      </c>
      <c r="E210" s="24">
        <v>3</v>
      </c>
      <c r="F210" s="227">
        <v>800</v>
      </c>
      <c r="G210" s="227">
        <f t="shared" si="113"/>
        <v>216000</v>
      </c>
      <c r="H210" s="268">
        <f t="shared" si="110"/>
        <v>366.20100366201001</v>
      </c>
      <c r="I210" s="642">
        <v>0</v>
      </c>
      <c r="J210" s="642">
        <v>0</v>
      </c>
      <c r="K210" s="642">
        <v>0</v>
      </c>
      <c r="L210" s="522"/>
      <c r="M210" s="522"/>
      <c r="N210" s="572"/>
      <c r="O210" s="522"/>
    </row>
    <row r="211" spans="1:15" x14ac:dyDescent="0.25">
      <c r="A211" s="188">
        <v>32</v>
      </c>
      <c r="B211" s="252" t="s">
        <v>1281</v>
      </c>
      <c r="C211" s="253" t="s">
        <v>28</v>
      </c>
      <c r="D211" s="254">
        <v>18</v>
      </c>
      <c r="E211" s="24">
        <v>2</v>
      </c>
      <c r="F211" s="255">
        <v>1500</v>
      </c>
      <c r="G211" s="266">
        <f t="shared" si="113"/>
        <v>54000</v>
      </c>
      <c r="H211" s="268">
        <f t="shared" si="110"/>
        <v>91.550250915502502</v>
      </c>
      <c r="I211" s="642">
        <v>0</v>
      </c>
      <c r="J211" s="642">
        <v>0</v>
      </c>
      <c r="K211" s="642">
        <v>0</v>
      </c>
      <c r="L211" s="522"/>
      <c r="M211" s="522"/>
      <c r="N211" s="572"/>
      <c r="O211" s="522"/>
    </row>
    <row r="212" spans="1:15" ht="16.5" thickBot="1" x14ac:dyDescent="0.3">
      <c r="A212" s="265">
        <v>33</v>
      </c>
      <c r="B212" s="26" t="s">
        <v>273</v>
      </c>
      <c r="C212" s="23" t="s">
        <v>29</v>
      </c>
      <c r="D212" s="24">
        <v>50</v>
      </c>
      <c r="E212" s="24">
        <v>1</v>
      </c>
      <c r="F212" s="25">
        <v>800</v>
      </c>
      <c r="G212" s="266">
        <f t="shared" si="113"/>
        <v>40000</v>
      </c>
      <c r="H212" s="268">
        <f t="shared" si="110"/>
        <v>67.81500067815</v>
      </c>
      <c r="I212" s="642">
        <v>0</v>
      </c>
      <c r="J212" s="642">
        <v>0</v>
      </c>
      <c r="K212" s="642">
        <v>0</v>
      </c>
      <c r="L212" s="522"/>
      <c r="M212" s="522"/>
      <c r="N212" s="572"/>
      <c r="O212" s="522"/>
    </row>
    <row r="213" spans="1:15" ht="18.75" thickBot="1" x14ac:dyDescent="0.3">
      <c r="A213" s="256"/>
      <c r="B213" s="257" t="s">
        <v>1399</v>
      </c>
      <c r="C213" s="258"/>
      <c r="D213" s="258"/>
      <c r="E213" s="258"/>
      <c r="F213" s="259"/>
      <c r="G213" s="260">
        <f>SUM(G180:G212)</f>
        <v>2063500</v>
      </c>
      <c r="H213" s="455">
        <f>SUM(H180:H212)</f>
        <v>3498.4063474840632</v>
      </c>
      <c r="I213" s="263">
        <f>SUM(I180:I211)</f>
        <v>52605</v>
      </c>
      <c r="J213" s="263">
        <f>SUM(J180:J212)</f>
        <v>30350</v>
      </c>
      <c r="K213" s="501"/>
      <c r="L213" s="522"/>
      <c r="M213" s="522"/>
      <c r="N213" s="572"/>
      <c r="O213" s="522"/>
    </row>
    <row r="214" spans="1:15" ht="18" x14ac:dyDescent="0.25">
      <c r="A214" s="231"/>
      <c r="B214" s="234" t="s">
        <v>401</v>
      </c>
      <c r="C214" s="232"/>
      <c r="D214" s="232"/>
      <c r="E214" s="232"/>
      <c r="F214" s="232"/>
      <c r="G214" s="232"/>
      <c r="H214" s="268"/>
      <c r="I214" s="522"/>
      <c r="J214" s="522"/>
      <c r="K214" s="522"/>
      <c r="L214" s="522"/>
      <c r="M214" s="522"/>
      <c r="N214" s="572"/>
      <c r="O214" s="522"/>
    </row>
    <row r="215" spans="1:15" x14ac:dyDescent="0.25">
      <c r="A215" s="188">
        <v>1</v>
      </c>
      <c r="B215" s="189" t="s">
        <v>1058</v>
      </c>
      <c r="C215" s="225" t="s">
        <v>28</v>
      </c>
      <c r="D215" s="226">
        <v>4</v>
      </c>
      <c r="E215" s="225">
        <v>3</v>
      </c>
      <c r="F215" s="227">
        <v>3000</v>
      </c>
      <c r="G215" s="227">
        <f t="shared" ref="G215:G236" si="118">D215*E215*F215</f>
        <v>36000</v>
      </c>
      <c r="H215" s="268">
        <f t="shared" ref="H215:H236" si="119">G215/589.84</f>
        <v>61.033500610335004</v>
      </c>
      <c r="I215" s="642">
        <f t="shared" ref="I215:I235" si="120">G215*0.03</f>
        <v>1080</v>
      </c>
      <c r="J215" s="642">
        <f>350*D215</f>
        <v>1400</v>
      </c>
      <c r="K215" s="642">
        <f t="shared" ref="K215:K235" si="121">G215/D215</f>
        <v>9000</v>
      </c>
      <c r="L215" s="522"/>
      <c r="M215" s="522"/>
      <c r="N215" s="572"/>
      <c r="O215" s="522"/>
    </row>
    <row r="216" spans="1:15" x14ac:dyDescent="0.25">
      <c r="A216" s="188">
        <v>2</v>
      </c>
      <c r="B216" s="189" t="s">
        <v>1059</v>
      </c>
      <c r="C216" s="225" t="s">
        <v>28</v>
      </c>
      <c r="D216" s="226">
        <v>4</v>
      </c>
      <c r="E216" s="225">
        <v>3</v>
      </c>
      <c r="F216" s="227">
        <v>3000</v>
      </c>
      <c r="G216" s="227">
        <f t="shared" si="118"/>
        <v>36000</v>
      </c>
      <c r="H216" s="268">
        <f t="shared" si="119"/>
        <v>61.033500610335004</v>
      </c>
      <c r="I216" s="642">
        <f t="shared" si="120"/>
        <v>1080</v>
      </c>
      <c r="J216" s="642">
        <f t="shared" ref="J216:J235" si="122">350*D216</f>
        <v>1400</v>
      </c>
      <c r="K216" s="642">
        <f t="shared" si="121"/>
        <v>9000</v>
      </c>
      <c r="L216" s="522"/>
      <c r="M216" s="522"/>
      <c r="N216" s="572"/>
      <c r="O216" s="522"/>
    </row>
    <row r="217" spans="1:15" x14ac:dyDescent="0.25">
      <c r="A217" s="188">
        <v>3</v>
      </c>
      <c r="B217" s="189" t="s">
        <v>1060</v>
      </c>
      <c r="C217" s="225" t="s">
        <v>28</v>
      </c>
      <c r="D217" s="226">
        <v>8</v>
      </c>
      <c r="E217" s="225">
        <v>3</v>
      </c>
      <c r="F217" s="227">
        <v>3000</v>
      </c>
      <c r="G217" s="227">
        <f t="shared" si="118"/>
        <v>72000</v>
      </c>
      <c r="H217" s="268">
        <f t="shared" si="119"/>
        <v>122.06700122067001</v>
      </c>
      <c r="I217" s="642">
        <f t="shared" si="120"/>
        <v>2160</v>
      </c>
      <c r="J217" s="642">
        <f t="shared" si="122"/>
        <v>2800</v>
      </c>
      <c r="K217" s="642">
        <f t="shared" si="121"/>
        <v>9000</v>
      </c>
      <c r="L217" s="522"/>
      <c r="M217" s="522"/>
      <c r="N217" s="572"/>
      <c r="O217" s="522"/>
    </row>
    <row r="218" spans="1:15" x14ac:dyDescent="0.25">
      <c r="A218" s="188">
        <v>4</v>
      </c>
      <c r="B218" s="189" t="s">
        <v>1061</v>
      </c>
      <c r="C218" s="225" t="s">
        <v>28</v>
      </c>
      <c r="D218" s="226">
        <v>6</v>
      </c>
      <c r="E218" s="225">
        <v>3</v>
      </c>
      <c r="F218" s="227">
        <v>3000</v>
      </c>
      <c r="G218" s="227">
        <f t="shared" si="118"/>
        <v>54000</v>
      </c>
      <c r="H218" s="268">
        <f t="shared" si="119"/>
        <v>91.550250915502502</v>
      </c>
      <c r="I218" s="642">
        <f t="shared" si="120"/>
        <v>1620</v>
      </c>
      <c r="J218" s="642">
        <f t="shared" si="122"/>
        <v>2100</v>
      </c>
      <c r="K218" s="642">
        <f t="shared" si="121"/>
        <v>9000</v>
      </c>
      <c r="L218" s="522"/>
      <c r="M218" s="522"/>
      <c r="N218" s="572"/>
      <c r="O218" s="522"/>
    </row>
    <row r="219" spans="1:15" x14ac:dyDescent="0.25">
      <c r="A219" s="188">
        <v>5</v>
      </c>
      <c r="B219" s="189" t="s">
        <v>1062</v>
      </c>
      <c r="C219" s="225" t="s">
        <v>28</v>
      </c>
      <c r="D219" s="226">
        <v>18</v>
      </c>
      <c r="E219" s="225">
        <v>3</v>
      </c>
      <c r="F219" s="227">
        <v>3000</v>
      </c>
      <c r="G219" s="227">
        <f t="shared" si="118"/>
        <v>162000</v>
      </c>
      <c r="H219" s="268">
        <f t="shared" si="119"/>
        <v>274.65075274650752</v>
      </c>
      <c r="I219" s="642">
        <f t="shared" si="120"/>
        <v>4860</v>
      </c>
      <c r="J219" s="642">
        <f t="shared" si="122"/>
        <v>6300</v>
      </c>
      <c r="K219" s="642">
        <f t="shared" si="121"/>
        <v>9000</v>
      </c>
      <c r="L219" s="522"/>
      <c r="M219" s="522"/>
      <c r="N219" s="572"/>
      <c r="O219" s="522"/>
    </row>
    <row r="220" spans="1:15" x14ac:dyDescent="0.25">
      <c r="A220" s="188">
        <v>6</v>
      </c>
      <c r="B220" s="189" t="s">
        <v>1063</v>
      </c>
      <c r="C220" s="225" t="s">
        <v>28</v>
      </c>
      <c r="D220" s="226">
        <v>6</v>
      </c>
      <c r="E220" s="225">
        <v>3</v>
      </c>
      <c r="F220" s="227">
        <v>3000</v>
      </c>
      <c r="G220" s="227">
        <f t="shared" si="118"/>
        <v>54000</v>
      </c>
      <c r="H220" s="268">
        <f t="shared" si="119"/>
        <v>91.550250915502502</v>
      </c>
      <c r="I220" s="642">
        <f t="shared" si="120"/>
        <v>1620</v>
      </c>
      <c r="J220" s="642">
        <f t="shared" si="122"/>
        <v>2100</v>
      </c>
      <c r="K220" s="642">
        <f t="shared" si="121"/>
        <v>9000</v>
      </c>
      <c r="L220" s="522"/>
      <c r="M220" s="522"/>
      <c r="N220" s="572"/>
      <c r="O220" s="522"/>
    </row>
    <row r="221" spans="1:15" x14ac:dyDescent="0.25">
      <c r="A221" s="188">
        <v>7</v>
      </c>
      <c r="B221" s="189" t="s">
        <v>987</v>
      </c>
      <c r="C221" s="225" t="s">
        <v>28</v>
      </c>
      <c r="D221" s="226">
        <v>4</v>
      </c>
      <c r="E221" s="225">
        <v>3</v>
      </c>
      <c r="F221" s="227">
        <v>3000</v>
      </c>
      <c r="G221" s="227">
        <f t="shared" si="118"/>
        <v>36000</v>
      </c>
      <c r="H221" s="268">
        <f t="shared" si="119"/>
        <v>61.033500610335004</v>
      </c>
      <c r="I221" s="642">
        <f t="shared" si="120"/>
        <v>1080</v>
      </c>
      <c r="J221" s="642">
        <f t="shared" si="122"/>
        <v>1400</v>
      </c>
      <c r="K221" s="642">
        <f t="shared" si="121"/>
        <v>9000</v>
      </c>
      <c r="L221" s="522"/>
      <c r="M221" s="522"/>
      <c r="N221" s="572"/>
      <c r="O221" s="522"/>
    </row>
    <row r="222" spans="1:15" x14ac:dyDescent="0.25">
      <c r="A222" s="188">
        <v>8</v>
      </c>
      <c r="B222" s="189" t="s">
        <v>991</v>
      </c>
      <c r="C222" s="225" t="s">
        <v>28</v>
      </c>
      <c r="D222" s="226">
        <v>2</v>
      </c>
      <c r="E222" s="225">
        <v>3</v>
      </c>
      <c r="F222" s="227">
        <v>3000</v>
      </c>
      <c r="G222" s="227">
        <f t="shared" si="118"/>
        <v>18000</v>
      </c>
      <c r="H222" s="268">
        <f t="shared" si="119"/>
        <v>30.516750305167502</v>
      </c>
      <c r="I222" s="642">
        <f t="shared" si="120"/>
        <v>540</v>
      </c>
      <c r="J222" s="642">
        <f t="shared" si="122"/>
        <v>700</v>
      </c>
      <c r="K222" s="642">
        <f t="shared" si="121"/>
        <v>9000</v>
      </c>
      <c r="L222" s="522"/>
      <c r="M222" s="522"/>
      <c r="N222" s="572"/>
      <c r="O222" s="522"/>
    </row>
    <row r="223" spans="1:15" x14ac:dyDescent="0.25">
      <c r="A223" s="188">
        <v>9</v>
      </c>
      <c r="B223" s="189" t="s">
        <v>1064</v>
      </c>
      <c r="C223" s="225" t="s">
        <v>28</v>
      </c>
      <c r="D223" s="226">
        <v>8</v>
      </c>
      <c r="E223" s="225">
        <v>3</v>
      </c>
      <c r="F223" s="227">
        <v>3000</v>
      </c>
      <c r="G223" s="227">
        <f t="shared" si="118"/>
        <v>72000</v>
      </c>
      <c r="H223" s="268">
        <f t="shared" si="119"/>
        <v>122.06700122067001</v>
      </c>
      <c r="I223" s="642">
        <f t="shared" si="120"/>
        <v>2160</v>
      </c>
      <c r="J223" s="642">
        <f t="shared" si="122"/>
        <v>2800</v>
      </c>
      <c r="K223" s="642">
        <f t="shared" si="121"/>
        <v>9000</v>
      </c>
      <c r="L223" s="522"/>
      <c r="M223" s="522"/>
      <c r="N223" s="572"/>
      <c r="O223" s="522"/>
    </row>
    <row r="224" spans="1:15" x14ac:dyDescent="0.25">
      <c r="A224" s="188">
        <v>10</v>
      </c>
      <c r="B224" s="189" t="s">
        <v>1065</v>
      </c>
      <c r="C224" s="225" t="s">
        <v>28</v>
      </c>
      <c r="D224" s="226">
        <v>4</v>
      </c>
      <c r="E224" s="225">
        <v>3</v>
      </c>
      <c r="F224" s="227">
        <v>3000</v>
      </c>
      <c r="G224" s="227">
        <f t="shared" si="118"/>
        <v>36000</v>
      </c>
      <c r="H224" s="268">
        <f t="shared" si="119"/>
        <v>61.033500610335004</v>
      </c>
      <c r="I224" s="642">
        <f t="shared" si="120"/>
        <v>1080</v>
      </c>
      <c r="J224" s="642">
        <f t="shared" si="122"/>
        <v>1400</v>
      </c>
      <c r="K224" s="642">
        <f t="shared" si="121"/>
        <v>9000</v>
      </c>
      <c r="L224" s="522"/>
      <c r="M224" s="522"/>
      <c r="N224" s="572"/>
      <c r="O224" s="522"/>
    </row>
    <row r="225" spans="1:15" x14ac:dyDescent="0.25">
      <c r="A225" s="188">
        <v>11</v>
      </c>
      <c r="B225" s="189" t="s">
        <v>1066</v>
      </c>
      <c r="C225" s="225" t="s">
        <v>28</v>
      </c>
      <c r="D225" s="226">
        <v>36</v>
      </c>
      <c r="E225" s="225">
        <v>3</v>
      </c>
      <c r="F225" s="227">
        <v>3000</v>
      </c>
      <c r="G225" s="227">
        <f t="shared" si="118"/>
        <v>324000</v>
      </c>
      <c r="H225" s="268">
        <f t="shared" si="119"/>
        <v>549.30150549301504</v>
      </c>
      <c r="I225" s="642">
        <f t="shared" si="120"/>
        <v>9720</v>
      </c>
      <c r="J225" s="642">
        <f t="shared" si="122"/>
        <v>12600</v>
      </c>
      <c r="K225" s="642">
        <f t="shared" si="121"/>
        <v>9000</v>
      </c>
      <c r="L225" s="522"/>
      <c r="M225" s="522"/>
      <c r="N225" s="572"/>
      <c r="O225" s="522"/>
    </row>
    <row r="226" spans="1:15" x14ac:dyDescent="0.25">
      <c r="A226" s="188">
        <v>12</v>
      </c>
      <c r="B226" s="189" t="s">
        <v>1007</v>
      </c>
      <c r="C226" s="225" t="s">
        <v>28</v>
      </c>
      <c r="D226" s="226">
        <v>2</v>
      </c>
      <c r="E226" s="225">
        <v>3</v>
      </c>
      <c r="F226" s="227">
        <v>3000</v>
      </c>
      <c r="G226" s="227">
        <f t="shared" si="118"/>
        <v>18000</v>
      </c>
      <c r="H226" s="268">
        <f t="shared" si="119"/>
        <v>30.516750305167502</v>
      </c>
      <c r="I226" s="642">
        <f t="shared" si="120"/>
        <v>540</v>
      </c>
      <c r="J226" s="642">
        <f t="shared" si="122"/>
        <v>700</v>
      </c>
      <c r="K226" s="642">
        <f t="shared" si="121"/>
        <v>9000</v>
      </c>
      <c r="L226" s="522"/>
      <c r="M226" s="522"/>
      <c r="N226" s="572"/>
      <c r="O226" s="522"/>
    </row>
    <row r="227" spans="1:15" x14ac:dyDescent="0.25">
      <c r="A227" s="188">
        <v>13</v>
      </c>
      <c r="B227" s="189" t="s">
        <v>1067</v>
      </c>
      <c r="C227" s="225" t="s">
        <v>28</v>
      </c>
      <c r="D227" s="226">
        <v>10</v>
      </c>
      <c r="E227" s="225">
        <v>3</v>
      </c>
      <c r="F227" s="227">
        <v>3000</v>
      </c>
      <c r="G227" s="227">
        <f t="shared" si="118"/>
        <v>90000</v>
      </c>
      <c r="H227" s="268">
        <f t="shared" si="119"/>
        <v>152.5837515258375</v>
      </c>
      <c r="I227" s="642">
        <f t="shared" si="120"/>
        <v>2700</v>
      </c>
      <c r="J227" s="642">
        <f t="shared" si="122"/>
        <v>3500</v>
      </c>
      <c r="K227" s="642">
        <f t="shared" si="121"/>
        <v>9000</v>
      </c>
      <c r="L227" s="522"/>
      <c r="M227" s="522"/>
      <c r="N227" s="572"/>
      <c r="O227" s="522"/>
    </row>
    <row r="228" spans="1:15" x14ac:dyDescent="0.25">
      <c r="A228" s="188">
        <v>14</v>
      </c>
      <c r="B228" s="189" t="s">
        <v>1068</v>
      </c>
      <c r="C228" s="225" t="s">
        <v>28</v>
      </c>
      <c r="D228" s="226">
        <v>8</v>
      </c>
      <c r="E228" s="225">
        <v>3</v>
      </c>
      <c r="F228" s="227">
        <v>3000</v>
      </c>
      <c r="G228" s="227">
        <f t="shared" si="118"/>
        <v>72000</v>
      </c>
      <c r="H228" s="268">
        <f t="shared" si="119"/>
        <v>122.06700122067001</v>
      </c>
      <c r="I228" s="642">
        <f t="shared" si="120"/>
        <v>2160</v>
      </c>
      <c r="J228" s="642">
        <f t="shared" si="122"/>
        <v>2800</v>
      </c>
      <c r="K228" s="642">
        <f t="shared" si="121"/>
        <v>9000</v>
      </c>
      <c r="L228" s="522"/>
      <c r="M228" s="522"/>
      <c r="N228" s="572"/>
      <c r="O228" s="522"/>
    </row>
    <row r="229" spans="1:15" x14ac:dyDescent="0.25">
      <c r="A229" s="188">
        <v>15</v>
      </c>
      <c r="B229" s="189" t="s">
        <v>1069</v>
      </c>
      <c r="C229" s="225" t="s">
        <v>28</v>
      </c>
      <c r="D229" s="226">
        <v>10</v>
      </c>
      <c r="E229" s="225">
        <v>3</v>
      </c>
      <c r="F229" s="227">
        <v>3000</v>
      </c>
      <c r="G229" s="227">
        <f t="shared" si="118"/>
        <v>90000</v>
      </c>
      <c r="H229" s="268">
        <f t="shared" si="119"/>
        <v>152.5837515258375</v>
      </c>
      <c r="I229" s="642">
        <f t="shared" si="120"/>
        <v>2700</v>
      </c>
      <c r="J229" s="642">
        <f t="shared" si="122"/>
        <v>3500</v>
      </c>
      <c r="K229" s="642">
        <f t="shared" si="121"/>
        <v>9000</v>
      </c>
      <c r="L229" s="522"/>
      <c r="M229" s="522"/>
      <c r="N229" s="572"/>
      <c r="O229" s="522"/>
    </row>
    <row r="230" spans="1:15" x14ac:dyDescent="0.25">
      <c r="A230" s="188">
        <v>16</v>
      </c>
      <c r="B230" s="189" t="s">
        <v>1070</v>
      </c>
      <c r="C230" s="225" t="s">
        <v>28</v>
      </c>
      <c r="D230" s="226">
        <v>8</v>
      </c>
      <c r="E230" s="225">
        <v>3</v>
      </c>
      <c r="F230" s="227">
        <v>3000</v>
      </c>
      <c r="G230" s="227">
        <f t="shared" si="118"/>
        <v>72000</v>
      </c>
      <c r="H230" s="268">
        <f t="shared" si="119"/>
        <v>122.06700122067001</v>
      </c>
      <c r="I230" s="642">
        <f t="shared" si="120"/>
        <v>2160</v>
      </c>
      <c r="J230" s="642">
        <f t="shared" si="122"/>
        <v>2800</v>
      </c>
      <c r="K230" s="642">
        <f t="shared" si="121"/>
        <v>9000</v>
      </c>
      <c r="L230" s="522"/>
      <c r="M230" s="522"/>
      <c r="N230" s="572"/>
      <c r="O230" s="522"/>
    </row>
    <row r="231" spans="1:15" x14ac:dyDescent="0.25">
      <c r="A231" s="188">
        <v>17</v>
      </c>
      <c r="B231" s="189" t="s">
        <v>1071</v>
      </c>
      <c r="C231" s="225" t="s">
        <v>28</v>
      </c>
      <c r="D231" s="226">
        <v>16</v>
      </c>
      <c r="E231" s="225">
        <v>3</v>
      </c>
      <c r="F231" s="227">
        <v>3000</v>
      </c>
      <c r="G231" s="227">
        <f t="shared" si="118"/>
        <v>144000</v>
      </c>
      <c r="H231" s="268">
        <f t="shared" si="119"/>
        <v>244.13400244134002</v>
      </c>
      <c r="I231" s="642">
        <f t="shared" si="120"/>
        <v>4320</v>
      </c>
      <c r="J231" s="642">
        <f t="shared" si="122"/>
        <v>5600</v>
      </c>
      <c r="K231" s="642">
        <f t="shared" si="121"/>
        <v>9000</v>
      </c>
      <c r="L231" s="522"/>
      <c r="M231" s="522"/>
      <c r="N231" s="572"/>
      <c r="O231" s="522"/>
    </row>
    <row r="232" spans="1:15" x14ac:dyDescent="0.25">
      <c r="A232" s="188">
        <v>18</v>
      </c>
      <c r="B232" s="189" t="s">
        <v>1072</v>
      </c>
      <c r="C232" s="225" t="s">
        <v>28</v>
      </c>
      <c r="D232" s="226">
        <v>12</v>
      </c>
      <c r="E232" s="225">
        <v>3</v>
      </c>
      <c r="F232" s="227">
        <v>3000</v>
      </c>
      <c r="G232" s="227">
        <f t="shared" si="118"/>
        <v>108000</v>
      </c>
      <c r="H232" s="268">
        <f t="shared" si="119"/>
        <v>183.100501831005</v>
      </c>
      <c r="I232" s="642">
        <f t="shared" si="120"/>
        <v>3240</v>
      </c>
      <c r="J232" s="642">
        <f t="shared" si="122"/>
        <v>4200</v>
      </c>
      <c r="K232" s="642">
        <f t="shared" si="121"/>
        <v>9000</v>
      </c>
      <c r="L232" s="522"/>
      <c r="M232" s="522"/>
      <c r="N232" s="572"/>
      <c r="O232" s="522"/>
    </row>
    <row r="233" spans="1:15" x14ac:dyDescent="0.25">
      <c r="A233" s="188">
        <v>19</v>
      </c>
      <c r="B233" s="189" t="s">
        <v>1073</v>
      </c>
      <c r="C233" s="225" t="s">
        <v>28</v>
      </c>
      <c r="D233" s="226">
        <v>8</v>
      </c>
      <c r="E233" s="225">
        <v>3</v>
      </c>
      <c r="F233" s="227">
        <v>3000</v>
      </c>
      <c r="G233" s="227">
        <f t="shared" si="118"/>
        <v>72000</v>
      </c>
      <c r="H233" s="268">
        <f t="shared" si="119"/>
        <v>122.06700122067001</v>
      </c>
      <c r="I233" s="642">
        <f t="shared" si="120"/>
        <v>2160</v>
      </c>
      <c r="J233" s="642">
        <f t="shared" si="122"/>
        <v>2800</v>
      </c>
      <c r="K233" s="642">
        <f t="shared" si="121"/>
        <v>9000</v>
      </c>
      <c r="L233" s="522"/>
      <c r="M233" s="522"/>
      <c r="N233" s="572"/>
      <c r="O233" s="522"/>
    </row>
    <row r="234" spans="1:15" x14ac:dyDescent="0.25">
      <c r="A234" s="188">
        <v>20</v>
      </c>
      <c r="B234" s="189" t="s">
        <v>43</v>
      </c>
      <c r="C234" s="225" t="s">
        <v>28</v>
      </c>
      <c r="D234" s="226">
        <v>19</v>
      </c>
      <c r="E234" s="225">
        <v>3</v>
      </c>
      <c r="F234" s="227">
        <v>3000</v>
      </c>
      <c r="G234" s="227">
        <f t="shared" si="118"/>
        <v>171000</v>
      </c>
      <c r="H234" s="268">
        <f t="shared" si="119"/>
        <v>289.90912789909129</v>
      </c>
      <c r="I234" s="642">
        <f t="shared" si="120"/>
        <v>5130</v>
      </c>
      <c r="J234" s="642">
        <f t="shared" si="122"/>
        <v>6650</v>
      </c>
      <c r="K234" s="642">
        <f t="shared" si="121"/>
        <v>9000</v>
      </c>
      <c r="L234" s="522"/>
      <c r="M234" s="522"/>
      <c r="N234" s="572"/>
      <c r="O234" s="522"/>
    </row>
    <row r="235" spans="1:15" x14ac:dyDescent="0.25">
      <c r="A235" s="188">
        <v>21</v>
      </c>
      <c r="B235" s="189" t="s">
        <v>409</v>
      </c>
      <c r="C235" s="225" t="s">
        <v>28</v>
      </c>
      <c r="D235" s="226">
        <v>19</v>
      </c>
      <c r="E235" s="225">
        <v>3</v>
      </c>
      <c r="F235" s="227">
        <v>2000</v>
      </c>
      <c r="G235" s="227">
        <f t="shared" si="118"/>
        <v>114000</v>
      </c>
      <c r="H235" s="268">
        <f t="shared" si="119"/>
        <v>193.27275193272752</v>
      </c>
      <c r="I235" s="642">
        <f t="shared" si="120"/>
        <v>3420</v>
      </c>
      <c r="J235" s="642">
        <f t="shared" si="122"/>
        <v>6650</v>
      </c>
      <c r="K235" s="642">
        <f t="shared" si="121"/>
        <v>6000</v>
      </c>
      <c r="L235" s="522"/>
      <c r="M235" s="522"/>
      <c r="N235" s="572"/>
      <c r="O235" s="522"/>
    </row>
    <row r="236" spans="1:15" ht="16.5" thickBot="1" x14ac:dyDescent="0.3">
      <c r="A236" s="188">
        <v>22</v>
      </c>
      <c r="B236" s="189" t="s">
        <v>44</v>
      </c>
      <c r="C236" s="225" t="s">
        <v>28</v>
      </c>
      <c r="D236" s="226">
        <f>SUM(D215:D235)</f>
        <v>212</v>
      </c>
      <c r="E236" s="225">
        <v>3</v>
      </c>
      <c r="F236" s="227">
        <v>3000</v>
      </c>
      <c r="G236" s="227">
        <f t="shared" si="118"/>
        <v>1908000</v>
      </c>
      <c r="H236" s="268">
        <f t="shared" si="119"/>
        <v>3234.775532347755</v>
      </c>
      <c r="I236" s="642">
        <f t="shared" ref="I236" si="123">G236*0.03</f>
        <v>57240</v>
      </c>
      <c r="J236" s="642">
        <f>350*D236</f>
        <v>74200</v>
      </c>
      <c r="K236" s="642">
        <f t="shared" ref="K236" si="124">G236/D236</f>
        <v>9000</v>
      </c>
      <c r="L236" s="522"/>
      <c r="M236" s="522"/>
      <c r="N236" s="572"/>
      <c r="O236" s="522"/>
    </row>
    <row r="237" spans="1:15" ht="18.75" thickBot="1" x14ac:dyDescent="0.3">
      <c r="A237" s="256"/>
      <c r="B237" s="257" t="s">
        <v>1399</v>
      </c>
      <c r="C237" s="258"/>
      <c r="D237" s="258"/>
      <c r="E237" s="258"/>
      <c r="F237" s="259"/>
      <c r="G237" s="260">
        <f>SUM(G215:G236)</f>
        <v>3759000</v>
      </c>
      <c r="H237" s="268">
        <f>SUM(H215:H236)</f>
        <v>6372.9146887291463</v>
      </c>
      <c r="I237" s="263">
        <f>SUM(I215:I236)</f>
        <v>112770</v>
      </c>
      <c r="J237" s="263">
        <f>SUM(J215:J236)</f>
        <v>148400</v>
      </c>
      <c r="K237" s="501"/>
      <c r="L237" s="522"/>
      <c r="M237" s="522"/>
      <c r="N237" s="572"/>
      <c r="O237" s="522"/>
    </row>
    <row r="238" spans="1:15" ht="18" x14ac:dyDescent="0.25">
      <c r="A238" s="231"/>
      <c r="B238" s="234" t="s">
        <v>402</v>
      </c>
      <c r="C238" s="232"/>
      <c r="D238" s="232"/>
      <c r="E238" s="232"/>
      <c r="F238" s="232"/>
      <c r="G238" s="232"/>
      <c r="H238" s="268"/>
      <c r="I238" s="572"/>
      <c r="J238" s="572"/>
      <c r="K238" s="572"/>
      <c r="L238" s="522"/>
      <c r="M238" s="522"/>
      <c r="N238" s="572"/>
      <c r="O238" s="522"/>
    </row>
    <row r="239" spans="1:15" x14ac:dyDescent="0.25">
      <c r="A239" s="188">
        <v>1</v>
      </c>
      <c r="B239" s="189" t="s">
        <v>1074</v>
      </c>
      <c r="C239" s="225" t="s">
        <v>28</v>
      </c>
      <c r="D239" s="226">
        <v>2</v>
      </c>
      <c r="E239" s="225">
        <v>1</v>
      </c>
      <c r="F239" s="227">
        <v>2500</v>
      </c>
      <c r="G239" s="227">
        <f t="shared" ref="G239:G259" si="125">D239*E239*F239</f>
        <v>5000</v>
      </c>
      <c r="H239" s="268">
        <f t="shared" ref="H239:H259" si="126">G239/589.84</f>
        <v>8.47687508476875</v>
      </c>
      <c r="I239" s="642">
        <f t="shared" ref="I239:I258" si="127">G239*0.03</f>
        <v>150</v>
      </c>
      <c r="J239" s="642">
        <f>125*D239</f>
        <v>250</v>
      </c>
      <c r="K239" s="642">
        <f t="shared" ref="K239:K258" si="128">G239/D239</f>
        <v>2500</v>
      </c>
      <c r="L239" s="522"/>
      <c r="M239" s="522"/>
      <c r="N239" s="572"/>
      <c r="O239" s="522"/>
    </row>
    <row r="240" spans="1:15" x14ac:dyDescent="0.25">
      <c r="A240" s="188">
        <v>2</v>
      </c>
      <c r="B240" s="189" t="s">
        <v>1075</v>
      </c>
      <c r="C240" s="225" t="s">
        <v>28</v>
      </c>
      <c r="D240" s="226">
        <v>2</v>
      </c>
      <c r="E240" s="225">
        <v>1</v>
      </c>
      <c r="F240" s="227">
        <v>2500</v>
      </c>
      <c r="G240" s="227">
        <f t="shared" si="125"/>
        <v>5000</v>
      </c>
      <c r="H240" s="268">
        <f t="shared" si="126"/>
        <v>8.47687508476875</v>
      </c>
      <c r="I240" s="642">
        <f t="shared" si="127"/>
        <v>150</v>
      </c>
      <c r="J240" s="642">
        <f t="shared" ref="J240:J257" si="129">125*D240</f>
        <v>250</v>
      </c>
      <c r="K240" s="642">
        <f t="shared" si="128"/>
        <v>2500</v>
      </c>
      <c r="L240" s="522"/>
      <c r="M240" s="522"/>
      <c r="N240" s="572"/>
      <c r="O240" s="522"/>
    </row>
    <row r="241" spans="1:15" x14ac:dyDescent="0.25">
      <c r="A241" s="188">
        <v>3</v>
      </c>
      <c r="B241" s="189" t="s">
        <v>1076</v>
      </c>
      <c r="C241" s="225" t="s">
        <v>28</v>
      </c>
      <c r="D241" s="226">
        <v>4</v>
      </c>
      <c r="E241" s="225">
        <v>1</v>
      </c>
      <c r="F241" s="227">
        <v>2500</v>
      </c>
      <c r="G241" s="227">
        <f t="shared" si="125"/>
        <v>10000</v>
      </c>
      <c r="H241" s="268">
        <f t="shared" si="126"/>
        <v>16.9537501695375</v>
      </c>
      <c r="I241" s="642">
        <f t="shared" si="127"/>
        <v>300</v>
      </c>
      <c r="J241" s="642">
        <f t="shared" si="129"/>
        <v>500</v>
      </c>
      <c r="K241" s="642">
        <f t="shared" si="128"/>
        <v>2500</v>
      </c>
      <c r="L241" s="522"/>
      <c r="M241" s="572"/>
      <c r="N241" s="572"/>
      <c r="O241" s="522"/>
    </row>
    <row r="242" spans="1:15" x14ac:dyDescent="0.25">
      <c r="A242" s="188">
        <v>4</v>
      </c>
      <c r="B242" s="189" t="s">
        <v>1077</v>
      </c>
      <c r="C242" s="225" t="s">
        <v>28</v>
      </c>
      <c r="D242" s="226">
        <v>3</v>
      </c>
      <c r="E242" s="225">
        <v>1</v>
      </c>
      <c r="F242" s="227">
        <v>2500</v>
      </c>
      <c r="G242" s="227">
        <f t="shared" si="125"/>
        <v>7500</v>
      </c>
      <c r="H242" s="268">
        <f t="shared" si="126"/>
        <v>12.715312627153125</v>
      </c>
      <c r="I242" s="642">
        <f t="shared" si="127"/>
        <v>225</v>
      </c>
      <c r="J242" s="642">
        <f t="shared" si="129"/>
        <v>375</v>
      </c>
      <c r="K242" s="642">
        <f t="shared" si="128"/>
        <v>2500</v>
      </c>
      <c r="L242" s="522"/>
      <c r="M242" s="572"/>
      <c r="N242" s="572"/>
      <c r="O242" s="522"/>
    </row>
    <row r="243" spans="1:15" x14ac:dyDescent="0.25">
      <c r="A243" s="188">
        <v>5</v>
      </c>
      <c r="B243" s="189" t="s">
        <v>1078</v>
      </c>
      <c r="C243" s="225" t="s">
        <v>28</v>
      </c>
      <c r="D243" s="226">
        <v>9</v>
      </c>
      <c r="E243" s="225">
        <v>1</v>
      </c>
      <c r="F243" s="227">
        <v>2500</v>
      </c>
      <c r="G243" s="227">
        <f t="shared" si="125"/>
        <v>22500</v>
      </c>
      <c r="H243" s="268">
        <f t="shared" si="126"/>
        <v>38.145937881459375</v>
      </c>
      <c r="I243" s="642">
        <f t="shared" si="127"/>
        <v>675</v>
      </c>
      <c r="J243" s="642">
        <f t="shared" si="129"/>
        <v>1125</v>
      </c>
      <c r="K243" s="642">
        <f t="shared" si="128"/>
        <v>2500</v>
      </c>
      <c r="L243" s="522"/>
      <c r="M243" s="522"/>
      <c r="N243" s="572"/>
      <c r="O243" s="522"/>
    </row>
    <row r="244" spans="1:15" x14ac:dyDescent="0.25">
      <c r="A244" s="188">
        <v>6</v>
      </c>
      <c r="B244" s="189" t="s">
        <v>1079</v>
      </c>
      <c r="C244" s="225" t="s">
        <v>28</v>
      </c>
      <c r="D244" s="226">
        <v>3</v>
      </c>
      <c r="E244" s="225">
        <v>1</v>
      </c>
      <c r="F244" s="227">
        <v>2500</v>
      </c>
      <c r="G244" s="227">
        <f t="shared" si="125"/>
        <v>7500</v>
      </c>
      <c r="H244" s="268">
        <f t="shared" si="126"/>
        <v>12.715312627153125</v>
      </c>
      <c r="I244" s="642">
        <f t="shared" si="127"/>
        <v>225</v>
      </c>
      <c r="J244" s="642">
        <f t="shared" si="129"/>
        <v>375</v>
      </c>
      <c r="K244" s="642">
        <f t="shared" si="128"/>
        <v>2500</v>
      </c>
      <c r="L244" s="522"/>
      <c r="M244" s="522"/>
      <c r="N244" s="572"/>
      <c r="O244" s="522"/>
    </row>
    <row r="245" spans="1:15" x14ac:dyDescent="0.25">
      <c r="A245" s="188">
        <v>7</v>
      </c>
      <c r="B245" s="189" t="s">
        <v>1080</v>
      </c>
      <c r="C245" s="225" t="s">
        <v>28</v>
      </c>
      <c r="D245" s="226">
        <v>2</v>
      </c>
      <c r="E245" s="225">
        <v>1</v>
      </c>
      <c r="F245" s="227">
        <v>2500</v>
      </c>
      <c r="G245" s="227">
        <f t="shared" si="125"/>
        <v>5000</v>
      </c>
      <c r="H245" s="268">
        <f t="shared" si="126"/>
        <v>8.47687508476875</v>
      </c>
      <c r="I245" s="642">
        <f t="shared" si="127"/>
        <v>150</v>
      </c>
      <c r="J245" s="642">
        <f t="shared" si="129"/>
        <v>250</v>
      </c>
      <c r="K245" s="642">
        <f t="shared" si="128"/>
        <v>2500</v>
      </c>
      <c r="L245" s="522"/>
      <c r="M245" s="522"/>
      <c r="N245" s="572"/>
      <c r="O245" s="522"/>
    </row>
    <row r="246" spans="1:15" x14ac:dyDescent="0.25">
      <c r="A246" s="188">
        <v>8</v>
      </c>
      <c r="B246" s="189" t="s">
        <v>992</v>
      </c>
      <c r="C246" s="225" t="s">
        <v>28</v>
      </c>
      <c r="D246" s="226">
        <v>1</v>
      </c>
      <c r="E246" s="225">
        <v>1</v>
      </c>
      <c r="F246" s="227">
        <v>2500</v>
      </c>
      <c r="G246" s="227">
        <f t="shared" si="125"/>
        <v>2500</v>
      </c>
      <c r="H246" s="268">
        <f t="shared" si="126"/>
        <v>4.238437542384375</v>
      </c>
      <c r="I246" s="642">
        <f t="shared" si="127"/>
        <v>75</v>
      </c>
      <c r="J246" s="642">
        <f t="shared" si="129"/>
        <v>125</v>
      </c>
      <c r="K246" s="642">
        <f t="shared" si="128"/>
        <v>2500</v>
      </c>
      <c r="L246" s="522"/>
      <c r="M246" s="522"/>
      <c r="N246" s="572"/>
      <c r="O246" s="522"/>
    </row>
    <row r="247" spans="1:15" x14ac:dyDescent="0.25">
      <c r="A247" s="188">
        <v>9</v>
      </c>
      <c r="B247" s="189" t="s">
        <v>1081</v>
      </c>
      <c r="C247" s="225" t="s">
        <v>28</v>
      </c>
      <c r="D247" s="226">
        <v>4</v>
      </c>
      <c r="E247" s="225">
        <v>1</v>
      </c>
      <c r="F247" s="227">
        <v>2500</v>
      </c>
      <c r="G247" s="227">
        <f t="shared" si="125"/>
        <v>10000</v>
      </c>
      <c r="H247" s="268">
        <f t="shared" si="126"/>
        <v>16.9537501695375</v>
      </c>
      <c r="I247" s="642">
        <f t="shared" si="127"/>
        <v>300</v>
      </c>
      <c r="J247" s="642">
        <f t="shared" si="129"/>
        <v>500</v>
      </c>
      <c r="K247" s="642">
        <f t="shared" si="128"/>
        <v>2500</v>
      </c>
      <c r="L247" s="522"/>
      <c r="M247" s="522"/>
      <c r="N247" s="572"/>
      <c r="O247" s="522"/>
    </row>
    <row r="248" spans="1:15" x14ac:dyDescent="0.25">
      <c r="A248" s="188">
        <v>10</v>
      </c>
      <c r="B248" s="189" t="s">
        <v>1082</v>
      </c>
      <c r="C248" s="225" t="s">
        <v>28</v>
      </c>
      <c r="D248" s="226">
        <v>2</v>
      </c>
      <c r="E248" s="225">
        <v>1</v>
      </c>
      <c r="F248" s="227">
        <v>2500</v>
      </c>
      <c r="G248" s="227">
        <f t="shared" si="125"/>
        <v>5000</v>
      </c>
      <c r="H248" s="268">
        <f t="shared" si="126"/>
        <v>8.47687508476875</v>
      </c>
      <c r="I248" s="642">
        <f t="shared" si="127"/>
        <v>150</v>
      </c>
      <c r="J248" s="642">
        <f t="shared" si="129"/>
        <v>250</v>
      </c>
      <c r="K248" s="642">
        <f t="shared" si="128"/>
        <v>2500</v>
      </c>
      <c r="L248" s="522"/>
      <c r="M248" s="522"/>
      <c r="N248" s="572"/>
      <c r="O248" s="522"/>
    </row>
    <row r="249" spans="1:15" x14ac:dyDescent="0.25">
      <c r="A249" s="188">
        <v>11</v>
      </c>
      <c r="B249" s="189" t="s">
        <v>1083</v>
      </c>
      <c r="C249" s="225" t="s">
        <v>28</v>
      </c>
      <c r="D249" s="226">
        <v>18</v>
      </c>
      <c r="E249" s="225">
        <v>1</v>
      </c>
      <c r="F249" s="227">
        <v>2500</v>
      </c>
      <c r="G249" s="227">
        <f t="shared" si="125"/>
        <v>45000</v>
      </c>
      <c r="H249" s="268">
        <f t="shared" si="126"/>
        <v>76.29187576291875</v>
      </c>
      <c r="I249" s="642">
        <f t="shared" si="127"/>
        <v>1350</v>
      </c>
      <c r="J249" s="642">
        <f t="shared" si="129"/>
        <v>2250</v>
      </c>
      <c r="K249" s="642">
        <f t="shared" si="128"/>
        <v>2500</v>
      </c>
      <c r="L249" s="522"/>
      <c r="M249" s="522"/>
      <c r="N249" s="572"/>
      <c r="O249" s="522"/>
    </row>
    <row r="250" spans="1:15" x14ac:dyDescent="0.25">
      <c r="A250" s="188">
        <v>12</v>
      </c>
      <c r="B250" s="189" t="s">
        <v>1084</v>
      </c>
      <c r="C250" s="225" t="s">
        <v>28</v>
      </c>
      <c r="D250" s="226">
        <v>1</v>
      </c>
      <c r="E250" s="225">
        <v>1</v>
      </c>
      <c r="F250" s="227">
        <v>2500</v>
      </c>
      <c r="G250" s="227">
        <f t="shared" si="125"/>
        <v>2500</v>
      </c>
      <c r="H250" s="268">
        <f t="shared" si="126"/>
        <v>4.238437542384375</v>
      </c>
      <c r="I250" s="642">
        <f t="shared" si="127"/>
        <v>75</v>
      </c>
      <c r="J250" s="642">
        <f t="shared" si="129"/>
        <v>125</v>
      </c>
      <c r="K250" s="642">
        <f t="shared" si="128"/>
        <v>2500</v>
      </c>
      <c r="L250" s="522"/>
      <c r="M250" s="522"/>
      <c r="N250" s="572"/>
      <c r="O250" s="522"/>
    </row>
    <row r="251" spans="1:15" x14ac:dyDescent="0.25">
      <c r="A251" s="188">
        <v>13</v>
      </c>
      <c r="B251" s="189" t="s">
        <v>1012</v>
      </c>
      <c r="C251" s="225" t="s">
        <v>28</v>
      </c>
      <c r="D251" s="226">
        <v>5</v>
      </c>
      <c r="E251" s="225">
        <v>1</v>
      </c>
      <c r="F251" s="227">
        <v>2500</v>
      </c>
      <c r="G251" s="227">
        <f t="shared" si="125"/>
        <v>12500</v>
      </c>
      <c r="H251" s="268">
        <f t="shared" si="126"/>
        <v>21.192187711921875</v>
      </c>
      <c r="I251" s="642">
        <f t="shared" si="127"/>
        <v>375</v>
      </c>
      <c r="J251" s="642">
        <f t="shared" si="129"/>
        <v>625</v>
      </c>
      <c r="K251" s="642">
        <f t="shared" si="128"/>
        <v>2500</v>
      </c>
      <c r="L251" s="522"/>
      <c r="M251" s="522"/>
      <c r="N251" s="572"/>
      <c r="O251" s="522"/>
    </row>
    <row r="252" spans="1:15" x14ac:dyDescent="0.25">
      <c r="A252" s="188">
        <v>14</v>
      </c>
      <c r="B252" s="189" t="s">
        <v>1016</v>
      </c>
      <c r="C252" s="225" t="s">
        <v>28</v>
      </c>
      <c r="D252" s="226">
        <v>4</v>
      </c>
      <c r="E252" s="225">
        <v>1</v>
      </c>
      <c r="F252" s="227">
        <v>2500</v>
      </c>
      <c r="G252" s="227">
        <f t="shared" si="125"/>
        <v>10000</v>
      </c>
      <c r="H252" s="268">
        <f t="shared" si="126"/>
        <v>16.9537501695375</v>
      </c>
      <c r="I252" s="642">
        <f t="shared" si="127"/>
        <v>300</v>
      </c>
      <c r="J252" s="642">
        <f t="shared" si="129"/>
        <v>500</v>
      </c>
      <c r="K252" s="642">
        <f t="shared" si="128"/>
        <v>2500</v>
      </c>
      <c r="L252" s="522"/>
      <c r="M252" s="522"/>
      <c r="N252" s="572"/>
      <c r="O252" s="522"/>
    </row>
    <row r="253" spans="1:15" x14ac:dyDescent="0.25">
      <c r="A253" s="188">
        <v>15</v>
      </c>
      <c r="B253" s="189" t="s">
        <v>1020</v>
      </c>
      <c r="C253" s="225" t="s">
        <v>28</v>
      </c>
      <c r="D253" s="226">
        <v>5</v>
      </c>
      <c r="E253" s="225">
        <v>1</v>
      </c>
      <c r="F253" s="227">
        <v>2500</v>
      </c>
      <c r="G253" s="227">
        <f t="shared" si="125"/>
        <v>12500</v>
      </c>
      <c r="H253" s="268">
        <f t="shared" si="126"/>
        <v>21.192187711921875</v>
      </c>
      <c r="I253" s="642">
        <f t="shared" si="127"/>
        <v>375</v>
      </c>
      <c r="J253" s="642">
        <f t="shared" si="129"/>
        <v>625</v>
      </c>
      <c r="K253" s="642">
        <f t="shared" si="128"/>
        <v>2500</v>
      </c>
      <c r="L253" s="522"/>
      <c r="M253" s="522"/>
      <c r="N253" s="572"/>
      <c r="O253" s="522"/>
    </row>
    <row r="254" spans="1:15" x14ac:dyDescent="0.25">
      <c r="A254" s="188">
        <v>16</v>
      </c>
      <c r="B254" s="189" t="s">
        <v>1028</v>
      </c>
      <c r="C254" s="225" t="s">
        <v>28</v>
      </c>
      <c r="D254" s="226">
        <v>4</v>
      </c>
      <c r="E254" s="225">
        <v>1</v>
      </c>
      <c r="F254" s="227">
        <v>2500</v>
      </c>
      <c r="G254" s="227">
        <f t="shared" si="125"/>
        <v>10000</v>
      </c>
      <c r="H254" s="268">
        <f t="shared" si="126"/>
        <v>16.9537501695375</v>
      </c>
      <c r="I254" s="642">
        <f t="shared" si="127"/>
        <v>300</v>
      </c>
      <c r="J254" s="642">
        <f t="shared" si="129"/>
        <v>500</v>
      </c>
      <c r="K254" s="642">
        <f t="shared" si="128"/>
        <v>2500</v>
      </c>
      <c r="L254" s="522"/>
      <c r="M254" s="522"/>
      <c r="N254" s="572"/>
      <c r="O254" s="522"/>
    </row>
    <row r="255" spans="1:15" x14ac:dyDescent="0.25">
      <c r="A255" s="188">
        <v>17</v>
      </c>
      <c r="B255" s="189" t="s">
        <v>1024</v>
      </c>
      <c r="C255" s="225" t="s">
        <v>28</v>
      </c>
      <c r="D255" s="226">
        <v>8</v>
      </c>
      <c r="E255" s="225">
        <v>1</v>
      </c>
      <c r="F255" s="227">
        <v>2500</v>
      </c>
      <c r="G255" s="227">
        <f t="shared" si="125"/>
        <v>20000</v>
      </c>
      <c r="H255" s="268">
        <f t="shared" si="126"/>
        <v>33.907500339075</v>
      </c>
      <c r="I255" s="642">
        <f t="shared" si="127"/>
        <v>600</v>
      </c>
      <c r="J255" s="642">
        <f t="shared" si="129"/>
        <v>1000</v>
      </c>
      <c r="K255" s="642">
        <f t="shared" si="128"/>
        <v>2500</v>
      </c>
      <c r="L255" s="522"/>
      <c r="M255" s="522"/>
      <c r="N255" s="572"/>
      <c r="O255" s="522"/>
    </row>
    <row r="256" spans="1:15" x14ac:dyDescent="0.25">
      <c r="A256" s="188">
        <v>18</v>
      </c>
      <c r="B256" s="189" t="s">
        <v>1032</v>
      </c>
      <c r="C256" s="225" t="s">
        <v>28</v>
      </c>
      <c r="D256" s="226">
        <v>6</v>
      </c>
      <c r="E256" s="225">
        <v>1</v>
      </c>
      <c r="F256" s="227">
        <v>2500</v>
      </c>
      <c r="G256" s="227">
        <f t="shared" si="125"/>
        <v>15000</v>
      </c>
      <c r="H256" s="268">
        <f t="shared" si="126"/>
        <v>25.43062525430625</v>
      </c>
      <c r="I256" s="642">
        <f t="shared" si="127"/>
        <v>450</v>
      </c>
      <c r="J256" s="642">
        <f t="shared" si="129"/>
        <v>750</v>
      </c>
      <c r="K256" s="642">
        <f t="shared" si="128"/>
        <v>2500</v>
      </c>
      <c r="L256" s="522"/>
      <c r="M256" s="522"/>
      <c r="N256" s="572"/>
      <c r="O256" s="522"/>
    </row>
    <row r="257" spans="1:15" x14ac:dyDescent="0.25">
      <c r="A257" s="188">
        <v>19</v>
      </c>
      <c r="B257" s="189" t="s">
        <v>1036</v>
      </c>
      <c r="C257" s="225" t="s">
        <v>28</v>
      </c>
      <c r="D257" s="226">
        <v>4</v>
      </c>
      <c r="E257" s="225">
        <v>1</v>
      </c>
      <c r="F257" s="227">
        <v>2500</v>
      </c>
      <c r="G257" s="227">
        <f t="shared" si="125"/>
        <v>10000</v>
      </c>
      <c r="H257" s="268">
        <f t="shared" si="126"/>
        <v>16.9537501695375</v>
      </c>
      <c r="I257" s="642">
        <f t="shared" si="127"/>
        <v>300</v>
      </c>
      <c r="J257" s="642">
        <f t="shared" si="129"/>
        <v>500</v>
      </c>
      <c r="K257" s="642">
        <f t="shared" si="128"/>
        <v>2500</v>
      </c>
      <c r="L257" s="522"/>
      <c r="M257" s="522"/>
      <c r="N257" s="572"/>
      <c r="O257" s="522"/>
    </row>
    <row r="258" spans="1:15" x14ac:dyDescent="0.25">
      <c r="A258" s="188">
        <v>20</v>
      </c>
      <c r="B258" s="189" t="s">
        <v>43</v>
      </c>
      <c r="C258" s="225" t="s">
        <v>28</v>
      </c>
      <c r="D258" s="226">
        <v>19</v>
      </c>
      <c r="E258" s="225">
        <v>1</v>
      </c>
      <c r="F258" s="227">
        <v>3000</v>
      </c>
      <c r="G258" s="227">
        <f t="shared" si="125"/>
        <v>57000</v>
      </c>
      <c r="H258" s="268">
        <f t="shared" si="126"/>
        <v>96.636375966363758</v>
      </c>
      <c r="I258" s="642">
        <f t="shared" si="127"/>
        <v>1710</v>
      </c>
      <c r="J258" s="642">
        <f>250*D258</f>
        <v>4750</v>
      </c>
      <c r="K258" s="642">
        <f t="shared" si="128"/>
        <v>3000</v>
      </c>
      <c r="L258" s="522"/>
      <c r="M258" s="522"/>
      <c r="N258" s="572"/>
      <c r="O258" s="522"/>
    </row>
    <row r="259" spans="1:15" s="34" customFormat="1" ht="16.5" thickBot="1" x14ac:dyDescent="0.3">
      <c r="A259" s="188">
        <v>21</v>
      </c>
      <c r="B259" s="189" t="s">
        <v>48</v>
      </c>
      <c r="C259" s="225" t="s">
        <v>28</v>
      </c>
      <c r="D259" s="226">
        <f>SUM(D239:D258)</f>
        <v>106</v>
      </c>
      <c r="E259" s="225">
        <v>1</v>
      </c>
      <c r="F259" s="227">
        <v>3000</v>
      </c>
      <c r="G259" s="227">
        <f t="shared" si="125"/>
        <v>318000</v>
      </c>
      <c r="H259" s="268">
        <f t="shared" si="126"/>
        <v>539.12925539129253</v>
      </c>
      <c r="I259" s="642">
        <f t="shared" ref="I259" si="130">G259*0.03</f>
        <v>9540</v>
      </c>
      <c r="J259" s="642">
        <f>250*D259</f>
        <v>26500</v>
      </c>
      <c r="K259" s="642">
        <f t="shared" ref="K259" si="131">G259/D259</f>
        <v>3000</v>
      </c>
      <c r="L259" s="522"/>
      <c r="M259" s="522"/>
      <c r="N259" s="572"/>
      <c r="O259" s="522"/>
    </row>
    <row r="260" spans="1:15" s="34" customFormat="1" ht="20.25" customHeight="1" thickBot="1" x14ac:dyDescent="0.3">
      <c r="A260" s="256"/>
      <c r="B260" s="257" t="s">
        <v>1399</v>
      </c>
      <c r="C260" s="258"/>
      <c r="D260" s="258"/>
      <c r="E260" s="258"/>
      <c r="F260" s="259"/>
      <c r="G260" s="260">
        <f>SUM(G239:G259)</f>
        <v>592500</v>
      </c>
      <c r="H260" s="268">
        <f>SUM(H239:H259)</f>
        <v>1004.509697545097</v>
      </c>
      <c r="I260" s="263">
        <f>SUM(I238:I259)</f>
        <v>17775</v>
      </c>
      <c r="J260" s="263">
        <f>SUM(J239:J259)</f>
        <v>42125</v>
      </c>
      <c r="K260" s="501"/>
      <c r="L260" s="522"/>
      <c r="M260" s="522"/>
      <c r="N260" s="572"/>
      <c r="O260" s="522"/>
    </row>
    <row r="261" spans="1:15" s="34" customFormat="1" ht="19.149999999999999" customHeight="1" thickBot="1" x14ac:dyDescent="0.3">
      <c r="A261" s="780" t="s">
        <v>523</v>
      </c>
      <c r="B261" s="781"/>
      <c r="C261" s="781"/>
      <c r="D261" s="781"/>
      <c r="E261" s="783"/>
      <c r="F261" s="348"/>
      <c r="G261" s="349"/>
      <c r="H261" s="350"/>
      <c r="I261" s="501"/>
      <c r="J261" s="501"/>
      <c r="K261" s="501"/>
      <c r="L261" s="522"/>
      <c r="M261" s="522"/>
      <c r="N261" s="572"/>
      <c r="O261" s="522"/>
    </row>
    <row r="262" spans="1:15" s="34" customFormat="1" ht="18" x14ac:dyDescent="0.25">
      <c r="A262" s="231"/>
      <c r="B262" s="234" t="s">
        <v>403</v>
      </c>
      <c r="C262" s="232"/>
      <c r="D262" s="232"/>
      <c r="E262" s="232"/>
      <c r="F262" s="232"/>
      <c r="G262" s="232"/>
      <c r="H262" s="268"/>
      <c r="I262" s="268"/>
      <c r="J262" s="268"/>
      <c r="K262" s="268"/>
      <c r="L262" s="522"/>
      <c r="M262" s="522"/>
      <c r="N262" s="572"/>
      <c r="O262" s="522"/>
    </row>
    <row r="263" spans="1:15" s="34" customFormat="1" x14ac:dyDescent="0.25">
      <c r="A263" s="188">
        <v>1</v>
      </c>
      <c r="B263" s="189" t="s">
        <v>1097</v>
      </c>
      <c r="C263" s="225" t="s">
        <v>28</v>
      </c>
      <c r="D263" s="226">
        <v>1</v>
      </c>
      <c r="E263" s="225">
        <v>1</v>
      </c>
      <c r="F263" s="227">
        <v>8000</v>
      </c>
      <c r="G263" s="227">
        <f t="shared" ref="G263:G291" si="132">D263*E263*F263</f>
        <v>8000</v>
      </c>
      <c r="H263" s="268">
        <f t="shared" ref="H263:H291" si="133">G263/589.84</f>
        <v>13.56300013563</v>
      </c>
      <c r="I263" s="642">
        <f t="shared" ref="I263:I288" si="134">G263*0.03</f>
        <v>240</v>
      </c>
      <c r="J263" s="642">
        <f>350*D263</f>
        <v>350</v>
      </c>
      <c r="K263" s="642">
        <f t="shared" ref="K263:K288" si="135">G263/D263</f>
        <v>8000</v>
      </c>
      <c r="L263" s="522"/>
      <c r="M263" s="522"/>
      <c r="N263" s="572"/>
      <c r="O263" s="522"/>
    </row>
    <row r="264" spans="1:15" s="34" customFormat="1" x14ac:dyDescent="0.25">
      <c r="A264" s="188">
        <v>2</v>
      </c>
      <c r="B264" s="189" t="s">
        <v>1085</v>
      </c>
      <c r="C264" s="225" t="s">
        <v>28</v>
      </c>
      <c r="D264" s="226">
        <v>1</v>
      </c>
      <c r="E264" s="225">
        <v>1</v>
      </c>
      <c r="F264" s="227">
        <v>8000</v>
      </c>
      <c r="G264" s="227">
        <f t="shared" si="132"/>
        <v>8000</v>
      </c>
      <c r="H264" s="268">
        <f t="shared" si="133"/>
        <v>13.56300013563</v>
      </c>
      <c r="I264" s="642">
        <f t="shared" si="134"/>
        <v>240</v>
      </c>
      <c r="J264" s="642">
        <f t="shared" ref="J264:J281" si="136">350*D264</f>
        <v>350</v>
      </c>
      <c r="K264" s="642">
        <f t="shared" si="135"/>
        <v>8000</v>
      </c>
      <c r="L264" s="522"/>
      <c r="M264" s="522"/>
      <c r="N264" s="572"/>
      <c r="O264" s="522"/>
    </row>
    <row r="265" spans="1:15" s="34" customFormat="1" x14ac:dyDescent="0.25">
      <c r="A265" s="188">
        <v>3</v>
      </c>
      <c r="B265" s="189" t="s">
        <v>1086</v>
      </c>
      <c r="C265" s="225" t="s">
        <v>28</v>
      </c>
      <c r="D265" s="226">
        <v>1</v>
      </c>
      <c r="E265" s="225">
        <v>1</v>
      </c>
      <c r="F265" s="227">
        <v>8000</v>
      </c>
      <c r="G265" s="227">
        <f t="shared" si="132"/>
        <v>8000</v>
      </c>
      <c r="H265" s="268">
        <f t="shared" si="133"/>
        <v>13.56300013563</v>
      </c>
      <c r="I265" s="642">
        <f t="shared" si="134"/>
        <v>240</v>
      </c>
      <c r="J265" s="642">
        <f t="shared" si="136"/>
        <v>350</v>
      </c>
      <c r="K265" s="642">
        <f t="shared" si="135"/>
        <v>8000</v>
      </c>
      <c r="L265" s="522"/>
      <c r="M265" s="522"/>
      <c r="N265" s="572"/>
      <c r="O265" s="522"/>
    </row>
    <row r="266" spans="1:15" s="34" customFormat="1" x14ac:dyDescent="0.25">
      <c r="A266" s="188">
        <v>4</v>
      </c>
      <c r="B266" s="189" t="s">
        <v>1087</v>
      </c>
      <c r="C266" s="225" t="s">
        <v>28</v>
      </c>
      <c r="D266" s="226">
        <v>1</v>
      </c>
      <c r="E266" s="225">
        <v>1</v>
      </c>
      <c r="F266" s="227">
        <v>8000</v>
      </c>
      <c r="G266" s="227">
        <f t="shared" si="132"/>
        <v>8000</v>
      </c>
      <c r="H266" s="268">
        <f t="shared" si="133"/>
        <v>13.56300013563</v>
      </c>
      <c r="I266" s="642">
        <f t="shared" si="134"/>
        <v>240</v>
      </c>
      <c r="J266" s="642">
        <f t="shared" si="136"/>
        <v>350</v>
      </c>
      <c r="K266" s="642">
        <f t="shared" si="135"/>
        <v>8000</v>
      </c>
      <c r="L266" s="522"/>
      <c r="M266" s="522"/>
      <c r="N266" s="572"/>
      <c r="O266" s="522"/>
    </row>
    <row r="267" spans="1:15" s="34" customFormat="1" x14ac:dyDescent="0.25">
      <c r="A267" s="188">
        <v>5</v>
      </c>
      <c r="B267" s="189" t="s">
        <v>1088</v>
      </c>
      <c r="C267" s="225" t="s">
        <v>28</v>
      </c>
      <c r="D267" s="226">
        <v>1</v>
      </c>
      <c r="E267" s="225">
        <v>1</v>
      </c>
      <c r="F267" s="227">
        <v>8000</v>
      </c>
      <c r="G267" s="227">
        <f t="shared" si="132"/>
        <v>8000</v>
      </c>
      <c r="H267" s="268">
        <f t="shared" si="133"/>
        <v>13.56300013563</v>
      </c>
      <c r="I267" s="642">
        <f t="shared" si="134"/>
        <v>240</v>
      </c>
      <c r="J267" s="642">
        <f t="shared" si="136"/>
        <v>350</v>
      </c>
      <c r="K267" s="642">
        <f t="shared" si="135"/>
        <v>8000</v>
      </c>
      <c r="L267" s="522"/>
      <c r="M267" s="522"/>
      <c r="N267" s="572"/>
      <c r="O267" s="522"/>
    </row>
    <row r="268" spans="1:15" s="34" customFormat="1" x14ac:dyDescent="0.25">
      <c r="A268" s="188">
        <v>6</v>
      </c>
      <c r="B268" s="189" t="s">
        <v>1089</v>
      </c>
      <c r="C268" s="225" t="s">
        <v>28</v>
      </c>
      <c r="D268" s="226">
        <v>1</v>
      </c>
      <c r="E268" s="225">
        <v>1</v>
      </c>
      <c r="F268" s="227">
        <v>8000</v>
      </c>
      <c r="G268" s="227">
        <f t="shared" si="132"/>
        <v>8000</v>
      </c>
      <c r="H268" s="268">
        <f t="shared" si="133"/>
        <v>13.56300013563</v>
      </c>
      <c r="I268" s="642">
        <f t="shared" si="134"/>
        <v>240</v>
      </c>
      <c r="J268" s="642">
        <f t="shared" si="136"/>
        <v>350</v>
      </c>
      <c r="K268" s="642">
        <f t="shared" si="135"/>
        <v>8000</v>
      </c>
      <c r="L268" s="522"/>
      <c r="M268" s="522"/>
      <c r="N268" s="572"/>
      <c r="O268" s="522"/>
    </row>
    <row r="269" spans="1:15" s="34" customFormat="1" x14ac:dyDescent="0.25">
      <c r="A269" s="188">
        <v>7</v>
      </c>
      <c r="B269" s="189" t="s">
        <v>1090</v>
      </c>
      <c r="C269" s="225" t="s">
        <v>28</v>
      </c>
      <c r="D269" s="226">
        <v>1</v>
      </c>
      <c r="E269" s="225">
        <v>1</v>
      </c>
      <c r="F269" s="227">
        <v>8000</v>
      </c>
      <c r="G269" s="227">
        <f t="shared" si="132"/>
        <v>8000</v>
      </c>
      <c r="H269" s="268">
        <f t="shared" si="133"/>
        <v>13.56300013563</v>
      </c>
      <c r="I269" s="642">
        <f t="shared" si="134"/>
        <v>240</v>
      </c>
      <c r="J269" s="642">
        <f t="shared" si="136"/>
        <v>350</v>
      </c>
      <c r="K269" s="642">
        <f t="shared" si="135"/>
        <v>8000</v>
      </c>
      <c r="L269" s="522"/>
      <c r="M269" s="522"/>
      <c r="N269" s="572"/>
      <c r="O269" s="522"/>
    </row>
    <row r="270" spans="1:15" s="34" customFormat="1" x14ac:dyDescent="0.25">
      <c r="A270" s="188">
        <v>8</v>
      </c>
      <c r="B270" s="189" t="s">
        <v>1091</v>
      </c>
      <c r="C270" s="225" t="s">
        <v>28</v>
      </c>
      <c r="D270" s="226">
        <v>1</v>
      </c>
      <c r="E270" s="225">
        <v>1</v>
      </c>
      <c r="F270" s="227">
        <v>8000</v>
      </c>
      <c r="G270" s="227">
        <f t="shared" si="132"/>
        <v>8000</v>
      </c>
      <c r="H270" s="268">
        <f t="shared" si="133"/>
        <v>13.56300013563</v>
      </c>
      <c r="I270" s="642">
        <f t="shared" si="134"/>
        <v>240</v>
      </c>
      <c r="J270" s="642">
        <f t="shared" si="136"/>
        <v>350</v>
      </c>
      <c r="K270" s="642">
        <f t="shared" si="135"/>
        <v>8000</v>
      </c>
      <c r="L270" s="522"/>
      <c r="M270" s="522"/>
      <c r="N270" s="572"/>
      <c r="O270" s="522"/>
    </row>
    <row r="271" spans="1:15" s="34" customFormat="1" x14ac:dyDescent="0.25">
      <c r="A271" s="188">
        <v>9</v>
      </c>
      <c r="B271" s="189" t="s">
        <v>1092</v>
      </c>
      <c r="C271" s="225" t="s">
        <v>28</v>
      </c>
      <c r="D271" s="226">
        <v>1</v>
      </c>
      <c r="E271" s="225">
        <v>1</v>
      </c>
      <c r="F271" s="227">
        <v>8000</v>
      </c>
      <c r="G271" s="227">
        <f t="shared" si="132"/>
        <v>8000</v>
      </c>
      <c r="H271" s="268">
        <f t="shared" si="133"/>
        <v>13.56300013563</v>
      </c>
      <c r="I271" s="642">
        <f t="shared" si="134"/>
        <v>240</v>
      </c>
      <c r="J271" s="642">
        <f t="shared" si="136"/>
        <v>350</v>
      </c>
      <c r="K271" s="642">
        <f t="shared" si="135"/>
        <v>8000</v>
      </c>
      <c r="L271" s="522"/>
      <c r="M271" s="522"/>
      <c r="N271" s="572"/>
      <c r="O271" s="522"/>
    </row>
    <row r="272" spans="1:15" s="34" customFormat="1" x14ac:dyDescent="0.25">
      <c r="A272" s="188">
        <v>10</v>
      </c>
      <c r="B272" s="189" t="s">
        <v>1093</v>
      </c>
      <c r="C272" s="225" t="s">
        <v>28</v>
      </c>
      <c r="D272" s="226">
        <v>1</v>
      </c>
      <c r="E272" s="225">
        <v>1</v>
      </c>
      <c r="F272" s="227">
        <v>8000</v>
      </c>
      <c r="G272" s="227">
        <f t="shared" si="132"/>
        <v>8000</v>
      </c>
      <c r="H272" s="268">
        <f t="shared" si="133"/>
        <v>13.56300013563</v>
      </c>
      <c r="I272" s="642">
        <f t="shared" si="134"/>
        <v>240</v>
      </c>
      <c r="J272" s="642">
        <f t="shared" si="136"/>
        <v>350</v>
      </c>
      <c r="K272" s="642">
        <f t="shared" si="135"/>
        <v>8000</v>
      </c>
      <c r="L272" s="522"/>
      <c r="M272" s="522"/>
      <c r="N272" s="572"/>
      <c r="O272" s="522"/>
    </row>
    <row r="273" spans="1:15" s="34" customFormat="1" x14ac:dyDescent="0.25">
      <c r="A273" s="188">
        <v>11</v>
      </c>
      <c r="B273" s="189" t="s">
        <v>1096</v>
      </c>
      <c r="C273" s="225" t="s">
        <v>28</v>
      </c>
      <c r="D273" s="226">
        <v>1</v>
      </c>
      <c r="E273" s="225">
        <v>1</v>
      </c>
      <c r="F273" s="227">
        <v>5000</v>
      </c>
      <c r="G273" s="227">
        <f t="shared" si="132"/>
        <v>5000</v>
      </c>
      <c r="H273" s="268">
        <f t="shared" si="133"/>
        <v>8.47687508476875</v>
      </c>
      <c r="I273" s="642">
        <f t="shared" si="134"/>
        <v>150</v>
      </c>
      <c r="J273" s="642">
        <f t="shared" si="136"/>
        <v>350</v>
      </c>
      <c r="K273" s="642">
        <f t="shared" si="135"/>
        <v>5000</v>
      </c>
      <c r="L273" s="522"/>
      <c r="M273" s="522"/>
      <c r="N273" s="572"/>
      <c r="O273" s="522"/>
    </row>
    <row r="274" spans="1:15" s="34" customFormat="1" x14ac:dyDescent="0.25">
      <c r="A274" s="188">
        <v>12</v>
      </c>
      <c r="B274" s="189" t="s">
        <v>1094</v>
      </c>
      <c r="C274" s="225" t="s">
        <v>28</v>
      </c>
      <c r="D274" s="226">
        <v>1</v>
      </c>
      <c r="E274" s="225">
        <v>1</v>
      </c>
      <c r="F274" s="227">
        <v>8000</v>
      </c>
      <c r="G274" s="227">
        <f t="shared" si="132"/>
        <v>8000</v>
      </c>
      <c r="H274" s="268">
        <f t="shared" si="133"/>
        <v>13.56300013563</v>
      </c>
      <c r="I274" s="642">
        <f t="shared" si="134"/>
        <v>240</v>
      </c>
      <c r="J274" s="642">
        <f t="shared" si="136"/>
        <v>350</v>
      </c>
      <c r="K274" s="642">
        <f t="shared" si="135"/>
        <v>8000</v>
      </c>
      <c r="L274" s="522"/>
      <c r="M274" s="522"/>
      <c r="N274" s="572"/>
      <c r="O274" s="522"/>
    </row>
    <row r="275" spans="1:15" s="34" customFormat="1" x14ac:dyDescent="0.25">
      <c r="A275" s="188">
        <v>13</v>
      </c>
      <c r="B275" s="189" t="s">
        <v>1095</v>
      </c>
      <c r="C275" s="225" t="s">
        <v>28</v>
      </c>
      <c r="D275" s="226">
        <v>1</v>
      </c>
      <c r="E275" s="225">
        <v>1</v>
      </c>
      <c r="F275" s="227">
        <v>8000</v>
      </c>
      <c r="G275" s="227">
        <f t="shared" si="132"/>
        <v>8000</v>
      </c>
      <c r="H275" s="268">
        <f t="shared" si="133"/>
        <v>13.56300013563</v>
      </c>
      <c r="I275" s="642">
        <f t="shared" si="134"/>
        <v>240</v>
      </c>
      <c r="J275" s="642">
        <f t="shared" si="136"/>
        <v>350</v>
      </c>
      <c r="K275" s="642">
        <f t="shared" si="135"/>
        <v>8000</v>
      </c>
      <c r="L275" s="522"/>
      <c r="M275" s="522"/>
      <c r="N275" s="572"/>
      <c r="O275" s="522"/>
    </row>
    <row r="276" spans="1:15" s="34" customFormat="1" x14ac:dyDescent="0.25">
      <c r="A276" s="188">
        <v>14</v>
      </c>
      <c r="B276" s="189" t="s">
        <v>1098</v>
      </c>
      <c r="C276" s="225" t="s">
        <v>28</v>
      </c>
      <c r="D276" s="226">
        <v>1</v>
      </c>
      <c r="E276" s="225">
        <v>1</v>
      </c>
      <c r="F276" s="227">
        <v>8000</v>
      </c>
      <c r="G276" s="227">
        <f t="shared" si="132"/>
        <v>8000</v>
      </c>
      <c r="H276" s="268">
        <f t="shared" si="133"/>
        <v>13.56300013563</v>
      </c>
      <c r="I276" s="642">
        <f t="shared" si="134"/>
        <v>240</v>
      </c>
      <c r="J276" s="642">
        <f t="shared" si="136"/>
        <v>350</v>
      </c>
      <c r="K276" s="642">
        <f t="shared" si="135"/>
        <v>8000</v>
      </c>
      <c r="L276" s="522"/>
      <c r="M276" s="522"/>
      <c r="N276" s="572"/>
      <c r="O276" s="522"/>
    </row>
    <row r="277" spans="1:15" s="34" customFormat="1" x14ac:dyDescent="0.25">
      <c r="A277" s="188">
        <v>15</v>
      </c>
      <c r="B277" s="189" t="s">
        <v>1099</v>
      </c>
      <c r="C277" s="225" t="s">
        <v>28</v>
      </c>
      <c r="D277" s="226">
        <v>1</v>
      </c>
      <c r="E277" s="225">
        <v>1</v>
      </c>
      <c r="F277" s="227">
        <v>8000</v>
      </c>
      <c r="G277" s="227">
        <f t="shared" si="132"/>
        <v>8000</v>
      </c>
      <c r="H277" s="268">
        <f t="shared" si="133"/>
        <v>13.56300013563</v>
      </c>
      <c r="I277" s="642">
        <f t="shared" si="134"/>
        <v>240</v>
      </c>
      <c r="J277" s="642">
        <f t="shared" si="136"/>
        <v>350</v>
      </c>
      <c r="K277" s="642">
        <f t="shared" si="135"/>
        <v>8000</v>
      </c>
      <c r="L277" s="522"/>
      <c r="M277" s="522"/>
      <c r="N277" s="572"/>
      <c r="O277" s="522"/>
    </row>
    <row r="278" spans="1:15" s="34" customFormat="1" x14ac:dyDescent="0.25">
      <c r="A278" s="188">
        <v>16</v>
      </c>
      <c r="B278" s="189" t="s">
        <v>1100</v>
      </c>
      <c r="C278" s="225" t="s">
        <v>28</v>
      </c>
      <c r="D278" s="226">
        <v>1</v>
      </c>
      <c r="E278" s="225">
        <v>1</v>
      </c>
      <c r="F278" s="227">
        <v>8000</v>
      </c>
      <c r="G278" s="227">
        <f t="shared" si="132"/>
        <v>8000</v>
      </c>
      <c r="H278" s="268">
        <f t="shared" si="133"/>
        <v>13.56300013563</v>
      </c>
      <c r="I278" s="642">
        <f t="shared" si="134"/>
        <v>240</v>
      </c>
      <c r="J278" s="642">
        <f t="shared" si="136"/>
        <v>350</v>
      </c>
      <c r="K278" s="642">
        <f t="shared" si="135"/>
        <v>8000</v>
      </c>
      <c r="L278" s="522"/>
      <c r="M278" s="522"/>
      <c r="N278" s="572"/>
      <c r="O278" s="522"/>
    </row>
    <row r="279" spans="1:15" s="34" customFormat="1" x14ac:dyDescent="0.25">
      <c r="A279" s="188">
        <v>17</v>
      </c>
      <c r="B279" s="189" t="s">
        <v>1101</v>
      </c>
      <c r="C279" s="225" t="s">
        <v>28</v>
      </c>
      <c r="D279" s="226">
        <v>1</v>
      </c>
      <c r="E279" s="225">
        <v>1</v>
      </c>
      <c r="F279" s="227">
        <v>8000</v>
      </c>
      <c r="G279" s="227">
        <f t="shared" si="132"/>
        <v>8000</v>
      </c>
      <c r="H279" s="268">
        <f t="shared" si="133"/>
        <v>13.56300013563</v>
      </c>
      <c r="I279" s="642">
        <f t="shared" si="134"/>
        <v>240</v>
      </c>
      <c r="J279" s="642">
        <f t="shared" si="136"/>
        <v>350</v>
      </c>
      <c r="K279" s="642">
        <f t="shared" si="135"/>
        <v>8000</v>
      </c>
      <c r="L279" s="522"/>
      <c r="M279" s="522"/>
      <c r="N279" s="572"/>
      <c r="O279" s="522"/>
    </row>
    <row r="280" spans="1:15" s="34" customFormat="1" x14ac:dyDescent="0.25">
      <c r="A280" s="188">
        <v>18</v>
      </c>
      <c r="B280" s="189" t="s">
        <v>1102</v>
      </c>
      <c r="C280" s="225" t="s">
        <v>28</v>
      </c>
      <c r="D280" s="226">
        <v>1</v>
      </c>
      <c r="E280" s="225">
        <v>1</v>
      </c>
      <c r="F280" s="227">
        <v>8000</v>
      </c>
      <c r="G280" s="227">
        <f t="shared" si="132"/>
        <v>8000</v>
      </c>
      <c r="H280" s="268">
        <f t="shared" si="133"/>
        <v>13.56300013563</v>
      </c>
      <c r="I280" s="642">
        <f t="shared" si="134"/>
        <v>240</v>
      </c>
      <c r="J280" s="642">
        <f t="shared" si="136"/>
        <v>350</v>
      </c>
      <c r="K280" s="642">
        <f t="shared" si="135"/>
        <v>8000</v>
      </c>
      <c r="L280" s="522"/>
      <c r="M280" s="522"/>
      <c r="N280" s="572"/>
      <c r="O280" s="522"/>
    </row>
    <row r="281" spans="1:15" s="34" customFormat="1" x14ac:dyDescent="0.25">
      <c r="A281" s="188">
        <v>19</v>
      </c>
      <c r="B281" s="189" t="s">
        <v>1103</v>
      </c>
      <c r="C281" s="225" t="s">
        <v>28</v>
      </c>
      <c r="D281" s="226">
        <v>1</v>
      </c>
      <c r="E281" s="225">
        <v>1</v>
      </c>
      <c r="F281" s="227">
        <v>8000</v>
      </c>
      <c r="G281" s="227">
        <f t="shared" si="132"/>
        <v>8000</v>
      </c>
      <c r="H281" s="268">
        <f t="shared" si="133"/>
        <v>13.56300013563</v>
      </c>
      <c r="I281" s="642">
        <f t="shared" si="134"/>
        <v>240</v>
      </c>
      <c r="J281" s="642">
        <f t="shared" si="136"/>
        <v>350</v>
      </c>
      <c r="K281" s="642">
        <f t="shared" si="135"/>
        <v>8000</v>
      </c>
      <c r="L281" s="522"/>
      <c r="M281" s="522"/>
      <c r="N281" s="572"/>
      <c r="O281" s="522"/>
    </row>
    <row r="282" spans="1:15" s="34" customFormat="1" x14ac:dyDescent="0.25">
      <c r="A282" s="188">
        <v>20</v>
      </c>
      <c r="B282" s="189" t="s">
        <v>406</v>
      </c>
      <c r="C282" s="225" t="s">
        <v>28</v>
      </c>
      <c r="D282" s="226">
        <v>1</v>
      </c>
      <c r="E282" s="225">
        <v>1</v>
      </c>
      <c r="F282" s="227">
        <v>5000</v>
      </c>
      <c r="G282" s="227">
        <f t="shared" si="132"/>
        <v>5000</v>
      </c>
      <c r="H282" s="268">
        <f t="shared" si="133"/>
        <v>8.47687508476875</v>
      </c>
      <c r="I282" s="642">
        <f t="shared" si="134"/>
        <v>150</v>
      </c>
      <c r="J282" s="642">
        <f t="shared" ref="J282:J288" si="137">250*D282</f>
        <v>250</v>
      </c>
      <c r="K282" s="642">
        <f t="shared" si="135"/>
        <v>5000</v>
      </c>
      <c r="L282" s="522"/>
      <c r="M282" s="522"/>
      <c r="N282" s="572"/>
      <c r="O282" s="522"/>
    </row>
    <row r="283" spans="1:15" s="34" customFormat="1" ht="15" customHeight="1" x14ac:dyDescent="0.25">
      <c r="A283" s="188">
        <v>21</v>
      </c>
      <c r="B283" s="189" t="s">
        <v>407</v>
      </c>
      <c r="C283" s="225" t="s">
        <v>28</v>
      </c>
      <c r="D283" s="226">
        <v>2</v>
      </c>
      <c r="E283" s="225">
        <v>1</v>
      </c>
      <c r="F283" s="227">
        <v>5000</v>
      </c>
      <c r="G283" s="227">
        <f t="shared" si="132"/>
        <v>10000</v>
      </c>
      <c r="H283" s="268">
        <f t="shared" si="133"/>
        <v>16.9537501695375</v>
      </c>
      <c r="I283" s="642">
        <f t="shared" si="134"/>
        <v>300</v>
      </c>
      <c r="J283" s="642">
        <f t="shared" si="137"/>
        <v>500</v>
      </c>
      <c r="K283" s="642">
        <f t="shared" si="135"/>
        <v>5000</v>
      </c>
      <c r="L283" s="522"/>
      <c r="M283" s="522"/>
      <c r="N283" s="572"/>
      <c r="O283" s="522"/>
    </row>
    <row r="284" spans="1:15" s="34" customFormat="1" x14ac:dyDescent="0.25">
      <c r="A284" s="188">
        <v>22</v>
      </c>
      <c r="B284" s="189" t="s">
        <v>408</v>
      </c>
      <c r="C284" s="225" t="s">
        <v>28</v>
      </c>
      <c r="D284" s="226">
        <v>8</v>
      </c>
      <c r="E284" s="225">
        <v>1</v>
      </c>
      <c r="F284" s="227">
        <v>5000</v>
      </c>
      <c r="G284" s="227">
        <f t="shared" si="132"/>
        <v>40000</v>
      </c>
      <c r="H284" s="268">
        <f t="shared" si="133"/>
        <v>67.81500067815</v>
      </c>
      <c r="I284" s="642">
        <f t="shared" si="134"/>
        <v>1200</v>
      </c>
      <c r="J284" s="642">
        <f t="shared" si="137"/>
        <v>2000</v>
      </c>
      <c r="K284" s="642">
        <f t="shared" si="135"/>
        <v>5000</v>
      </c>
      <c r="L284" s="522"/>
      <c r="M284" s="522"/>
      <c r="N284" s="572"/>
      <c r="O284" s="522"/>
    </row>
    <row r="285" spans="1:15" s="34" customFormat="1" x14ac:dyDescent="0.25">
      <c r="A285" s="188">
        <v>23</v>
      </c>
      <c r="B285" s="189" t="s">
        <v>425</v>
      </c>
      <c r="C285" s="225" t="s">
        <v>28</v>
      </c>
      <c r="D285" s="226">
        <v>2</v>
      </c>
      <c r="E285" s="225">
        <v>1</v>
      </c>
      <c r="F285" s="227">
        <v>0</v>
      </c>
      <c r="G285" s="227">
        <f t="shared" si="132"/>
        <v>0</v>
      </c>
      <c r="H285" s="268">
        <f t="shared" si="133"/>
        <v>0</v>
      </c>
      <c r="I285" s="642">
        <f t="shared" si="134"/>
        <v>0</v>
      </c>
      <c r="J285" s="642">
        <v>0</v>
      </c>
      <c r="K285" s="642">
        <f t="shared" si="135"/>
        <v>0</v>
      </c>
      <c r="L285" s="542"/>
      <c r="M285" s="542"/>
      <c r="N285" s="542"/>
      <c r="O285" s="522"/>
    </row>
    <row r="286" spans="1:15" s="34" customFormat="1" x14ac:dyDescent="0.25">
      <c r="A286" s="188">
        <v>24</v>
      </c>
      <c r="B286" s="189" t="s">
        <v>423</v>
      </c>
      <c r="C286" s="225" t="s">
        <v>28</v>
      </c>
      <c r="D286" s="226">
        <v>1</v>
      </c>
      <c r="E286" s="225">
        <v>1</v>
      </c>
      <c r="F286" s="227">
        <v>5000</v>
      </c>
      <c r="G286" s="227">
        <f t="shared" si="132"/>
        <v>5000</v>
      </c>
      <c r="H286" s="268">
        <f t="shared" si="133"/>
        <v>8.47687508476875</v>
      </c>
      <c r="I286" s="642">
        <f t="shared" si="134"/>
        <v>150</v>
      </c>
      <c r="J286" s="642">
        <f t="shared" si="137"/>
        <v>250</v>
      </c>
      <c r="K286" s="642">
        <f t="shared" si="135"/>
        <v>5000</v>
      </c>
      <c r="L286" s="542"/>
      <c r="M286" s="542"/>
      <c r="N286" s="542"/>
      <c r="O286" s="522"/>
    </row>
    <row r="287" spans="1:15" s="34" customFormat="1" x14ac:dyDescent="0.25">
      <c r="A287" s="188">
        <v>25</v>
      </c>
      <c r="B287" s="189" t="s">
        <v>424</v>
      </c>
      <c r="C287" s="225" t="s">
        <v>28</v>
      </c>
      <c r="D287" s="226">
        <v>1</v>
      </c>
      <c r="E287" s="225">
        <v>1</v>
      </c>
      <c r="F287" s="227">
        <v>5000</v>
      </c>
      <c r="G287" s="227">
        <f t="shared" si="132"/>
        <v>5000</v>
      </c>
      <c r="H287" s="268">
        <f t="shared" si="133"/>
        <v>8.47687508476875</v>
      </c>
      <c r="I287" s="642">
        <f t="shared" si="134"/>
        <v>150</v>
      </c>
      <c r="J287" s="642">
        <f>250*D287</f>
        <v>250</v>
      </c>
      <c r="K287" s="642">
        <f t="shared" si="135"/>
        <v>5000</v>
      </c>
      <c r="L287" s="542"/>
      <c r="M287" s="542"/>
      <c r="N287" s="542"/>
      <c r="O287" s="522"/>
    </row>
    <row r="288" spans="1:15" s="34" customFormat="1" x14ac:dyDescent="0.25">
      <c r="A288" s="188">
        <v>26</v>
      </c>
      <c r="B288" s="189" t="s">
        <v>409</v>
      </c>
      <c r="C288" s="225" t="s">
        <v>28</v>
      </c>
      <c r="D288" s="226">
        <v>1</v>
      </c>
      <c r="E288" s="225">
        <v>1</v>
      </c>
      <c r="F288" s="227">
        <v>3000</v>
      </c>
      <c r="G288" s="227">
        <f t="shared" si="132"/>
        <v>3000</v>
      </c>
      <c r="H288" s="268">
        <f t="shared" si="133"/>
        <v>5.0861250508612503</v>
      </c>
      <c r="I288" s="642">
        <f t="shared" si="134"/>
        <v>90</v>
      </c>
      <c r="J288" s="642">
        <f t="shared" si="137"/>
        <v>250</v>
      </c>
      <c r="K288" s="642">
        <f t="shared" si="135"/>
        <v>3000</v>
      </c>
      <c r="L288" s="542"/>
      <c r="M288" s="542"/>
      <c r="N288" s="542"/>
      <c r="O288" s="522"/>
    </row>
    <row r="289" spans="1:15" s="34" customFormat="1" x14ac:dyDescent="0.25">
      <c r="A289" s="188">
        <v>27</v>
      </c>
      <c r="B289" s="189" t="s">
        <v>426</v>
      </c>
      <c r="C289" s="225" t="s">
        <v>28</v>
      </c>
      <c r="D289" s="226">
        <f>SUM(D263:D288)</f>
        <v>35</v>
      </c>
      <c r="E289" s="225">
        <v>1</v>
      </c>
      <c r="F289" s="227">
        <v>5000</v>
      </c>
      <c r="G289" s="227">
        <f t="shared" si="132"/>
        <v>175000</v>
      </c>
      <c r="H289" s="268">
        <f t="shared" si="133"/>
        <v>296.69062796690628</v>
      </c>
      <c r="I289" s="642">
        <v>0</v>
      </c>
      <c r="J289" s="642">
        <v>0</v>
      </c>
      <c r="K289" s="642">
        <v>0</v>
      </c>
      <c r="L289" s="542"/>
      <c r="M289" s="542"/>
      <c r="N289" s="542"/>
      <c r="O289" s="522"/>
    </row>
    <row r="290" spans="1:15" s="34" customFormat="1" x14ac:dyDescent="0.25">
      <c r="A290" s="188">
        <v>28</v>
      </c>
      <c r="B290" s="189" t="s">
        <v>410</v>
      </c>
      <c r="C290" s="225" t="s">
        <v>28</v>
      </c>
      <c r="D290" s="226">
        <v>18</v>
      </c>
      <c r="E290" s="225">
        <v>2</v>
      </c>
      <c r="F290" s="227">
        <v>1500</v>
      </c>
      <c r="G290" s="227">
        <f t="shared" si="132"/>
        <v>54000</v>
      </c>
      <c r="H290" s="268">
        <f t="shared" si="133"/>
        <v>91.550250915502502</v>
      </c>
      <c r="I290" s="642">
        <v>0</v>
      </c>
      <c r="J290" s="642">
        <v>0</v>
      </c>
      <c r="K290" s="642">
        <v>0</v>
      </c>
      <c r="L290" s="542"/>
      <c r="M290" s="542"/>
      <c r="N290" s="542"/>
      <c r="O290" s="522"/>
    </row>
    <row r="291" spans="1:15" s="34" customFormat="1" ht="16.5" thickBot="1" x14ac:dyDescent="0.3">
      <c r="A291" s="370">
        <v>29</v>
      </c>
      <c r="B291" s="26" t="s">
        <v>273</v>
      </c>
      <c r="C291" s="39" t="s">
        <v>29</v>
      </c>
      <c r="D291" s="24">
        <v>20</v>
      </c>
      <c r="E291" s="225">
        <v>1</v>
      </c>
      <c r="F291" s="25">
        <v>800</v>
      </c>
      <c r="G291" s="227">
        <f t="shared" si="132"/>
        <v>16000</v>
      </c>
      <c r="H291" s="268">
        <f t="shared" si="133"/>
        <v>27.126000271260001</v>
      </c>
      <c r="I291" s="642">
        <v>0</v>
      </c>
      <c r="J291" s="642">
        <v>0</v>
      </c>
      <c r="K291" s="642">
        <v>0</v>
      </c>
      <c r="L291" s="542"/>
      <c r="M291" s="542"/>
      <c r="N291" s="542"/>
      <c r="O291" s="522"/>
    </row>
    <row r="292" spans="1:15" s="34" customFormat="1" ht="19.149999999999999" customHeight="1" thickBot="1" x14ac:dyDescent="0.3">
      <c r="A292" s="780" t="s">
        <v>527</v>
      </c>
      <c r="B292" s="781"/>
      <c r="C292" s="781"/>
      <c r="D292" s="781"/>
      <c r="E292" s="783"/>
      <c r="F292" s="348"/>
      <c r="G292" s="349">
        <f>SUM(G263:G291)</f>
        <v>462000</v>
      </c>
      <c r="H292" s="350">
        <f>SUM(H263:H291)</f>
        <v>783.26325783263258</v>
      </c>
      <c r="I292" s="263">
        <f>SUM(I263:I291)</f>
        <v>6510</v>
      </c>
      <c r="J292" s="263">
        <f>SUM(J263:J291)</f>
        <v>10150</v>
      </c>
      <c r="K292" s="501"/>
      <c r="L292" s="542"/>
      <c r="M292" s="542"/>
      <c r="N292" s="542"/>
      <c r="O292" s="522"/>
    </row>
    <row r="293" spans="1:15" s="34" customFormat="1" ht="18" x14ac:dyDescent="0.25">
      <c r="A293" s="231"/>
      <c r="B293" s="234" t="s">
        <v>427</v>
      </c>
      <c r="C293" s="232"/>
      <c r="D293" s="232"/>
      <c r="E293" s="232"/>
      <c r="F293" s="232"/>
      <c r="G293" s="232"/>
      <c r="H293" s="268"/>
      <c r="I293" s="268"/>
      <c r="J293" s="268"/>
      <c r="K293" s="268"/>
      <c r="L293" s="542"/>
      <c r="M293" s="542"/>
      <c r="N293" s="542"/>
      <c r="O293" s="522"/>
    </row>
    <row r="294" spans="1:15" s="34" customFormat="1" ht="18" x14ac:dyDescent="0.25">
      <c r="A294" s="231"/>
      <c r="B294" s="234" t="s">
        <v>433</v>
      </c>
      <c r="C294" s="232"/>
      <c r="D294" s="232"/>
      <c r="E294" s="232"/>
      <c r="F294" s="232"/>
      <c r="G294" s="232"/>
      <c r="H294" s="268"/>
      <c r="I294" s="268"/>
      <c r="J294" s="268"/>
      <c r="K294" s="268"/>
      <c r="L294" s="542"/>
      <c r="M294" s="542"/>
      <c r="N294" s="542"/>
      <c r="O294" s="522"/>
    </row>
    <row r="295" spans="1:15" s="34" customFormat="1" x14ac:dyDescent="0.25">
      <c r="A295" s="188">
        <v>1</v>
      </c>
      <c r="B295" s="189" t="s">
        <v>1104</v>
      </c>
      <c r="C295" s="225" t="s">
        <v>28</v>
      </c>
      <c r="D295" s="225">
        <v>12</v>
      </c>
      <c r="E295" s="225">
        <v>1</v>
      </c>
      <c r="F295" s="227">
        <f>7500-5000</f>
        <v>2500</v>
      </c>
      <c r="G295" s="227">
        <f t="shared" ref="G295:G317" si="138">D295*E295*F295</f>
        <v>30000</v>
      </c>
      <c r="H295" s="268">
        <f t="shared" ref="H295:H317" si="139">G295/589.84</f>
        <v>50.8612505086125</v>
      </c>
      <c r="I295" s="642">
        <f t="shared" ref="I295:I316" si="140">G295*0.03</f>
        <v>900</v>
      </c>
      <c r="J295" s="642">
        <f>125*D295</f>
        <v>1500</v>
      </c>
      <c r="K295" s="642">
        <f t="shared" ref="K295:K314" si="141">G295/D295</f>
        <v>2500</v>
      </c>
      <c r="L295" s="542"/>
      <c r="M295" s="542"/>
      <c r="N295" s="542"/>
      <c r="O295" s="522"/>
    </row>
    <row r="296" spans="1:15" s="34" customFormat="1" x14ac:dyDescent="0.25">
      <c r="A296" s="188">
        <v>2</v>
      </c>
      <c r="B296" s="189" t="s">
        <v>1105</v>
      </c>
      <c r="C296" s="225" t="s">
        <v>28</v>
      </c>
      <c r="D296" s="225">
        <v>11</v>
      </c>
      <c r="E296" s="225">
        <v>1</v>
      </c>
      <c r="F296" s="227">
        <f t="shared" ref="F296:F313" si="142">7500-5000</f>
        <v>2500</v>
      </c>
      <c r="G296" s="227">
        <f t="shared" si="138"/>
        <v>27500</v>
      </c>
      <c r="H296" s="25">
        <f t="shared" si="139"/>
        <v>46.622812966228125</v>
      </c>
      <c r="I296" s="642">
        <f t="shared" si="140"/>
        <v>825</v>
      </c>
      <c r="J296" s="642">
        <f t="shared" ref="J296:J313" si="143">125*D296</f>
        <v>1375</v>
      </c>
      <c r="K296" s="642">
        <f t="shared" si="141"/>
        <v>2500</v>
      </c>
      <c r="L296" s="542"/>
      <c r="M296" s="542"/>
      <c r="N296" s="542"/>
      <c r="O296" s="522"/>
    </row>
    <row r="297" spans="1:15" s="34" customFormat="1" x14ac:dyDescent="0.25">
      <c r="A297" s="188">
        <v>3</v>
      </c>
      <c r="B297" s="189" t="s">
        <v>1106</v>
      </c>
      <c r="C297" s="225" t="s">
        <v>28</v>
      </c>
      <c r="D297" s="225">
        <v>17</v>
      </c>
      <c r="E297" s="225">
        <v>1</v>
      </c>
      <c r="F297" s="227">
        <f t="shared" si="142"/>
        <v>2500</v>
      </c>
      <c r="G297" s="227">
        <f t="shared" si="138"/>
        <v>42500</v>
      </c>
      <c r="H297" s="268">
        <f t="shared" si="139"/>
        <v>72.053438220534375</v>
      </c>
      <c r="I297" s="642">
        <f t="shared" si="140"/>
        <v>1275</v>
      </c>
      <c r="J297" s="642">
        <f t="shared" si="143"/>
        <v>2125</v>
      </c>
      <c r="K297" s="642">
        <f t="shared" si="141"/>
        <v>2500</v>
      </c>
      <c r="L297" s="542"/>
      <c r="M297" s="542"/>
      <c r="N297" s="542"/>
      <c r="O297" s="522"/>
    </row>
    <row r="298" spans="1:15" s="34" customFormat="1" x14ac:dyDescent="0.25">
      <c r="A298" s="188">
        <v>4</v>
      </c>
      <c r="B298" s="189" t="s">
        <v>1107</v>
      </c>
      <c r="C298" s="225" t="s">
        <v>28</v>
      </c>
      <c r="D298" s="225">
        <v>15</v>
      </c>
      <c r="E298" s="225">
        <v>1</v>
      </c>
      <c r="F298" s="227">
        <f t="shared" si="142"/>
        <v>2500</v>
      </c>
      <c r="G298" s="227">
        <f t="shared" si="138"/>
        <v>37500</v>
      </c>
      <c r="H298" s="268">
        <f t="shared" si="139"/>
        <v>63.576563135765625</v>
      </c>
      <c r="I298" s="642">
        <f t="shared" si="140"/>
        <v>1125</v>
      </c>
      <c r="J298" s="642">
        <f t="shared" si="143"/>
        <v>1875</v>
      </c>
      <c r="K298" s="642">
        <f t="shared" si="141"/>
        <v>2500</v>
      </c>
      <c r="L298" s="542"/>
      <c r="M298" s="542"/>
      <c r="N298" s="542"/>
      <c r="O298" s="522"/>
    </row>
    <row r="299" spans="1:15" s="34" customFormat="1" x14ac:dyDescent="0.25">
      <c r="A299" s="188">
        <v>5</v>
      </c>
      <c r="B299" s="189" t="s">
        <v>1108</v>
      </c>
      <c r="C299" s="225" t="s">
        <v>28</v>
      </c>
      <c r="D299" s="225">
        <v>29</v>
      </c>
      <c r="E299" s="225">
        <v>1</v>
      </c>
      <c r="F299" s="227">
        <f t="shared" si="142"/>
        <v>2500</v>
      </c>
      <c r="G299" s="227">
        <f t="shared" si="138"/>
        <v>72500</v>
      </c>
      <c r="H299" s="268">
        <f t="shared" si="139"/>
        <v>122.91468872914687</v>
      </c>
      <c r="I299" s="642">
        <f t="shared" si="140"/>
        <v>2175</v>
      </c>
      <c r="J299" s="642">
        <f t="shared" si="143"/>
        <v>3625</v>
      </c>
      <c r="K299" s="642">
        <f t="shared" si="141"/>
        <v>2500</v>
      </c>
      <c r="L299" s="542"/>
      <c r="M299" s="542"/>
      <c r="N299" s="542"/>
      <c r="O299" s="522"/>
    </row>
    <row r="300" spans="1:15" s="34" customFormat="1" x14ac:dyDescent="0.25">
      <c r="A300" s="188">
        <v>6</v>
      </c>
      <c r="B300" s="189" t="s">
        <v>1109</v>
      </c>
      <c r="C300" s="225" t="s">
        <v>28</v>
      </c>
      <c r="D300" s="225">
        <v>18</v>
      </c>
      <c r="E300" s="225">
        <v>1</v>
      </c>
      <c r="F300" s="227">
        <f t="shared" si="142"/>
        <v>2500</v>
      </c>
      <c r="G300" s="227">
        <f t="shared" si="138"/>
        <v>45000</v>
      </c>
      <c r="H300" s="268">
        <f t="shared" si="139"/>
        <v>76.29187576291875</v>
      </c>
      <c r="I300" s="642">
        <f t="shared" si="140"/>
        <v>1350</v>
      </c>
      <c r="J300" s="642">
        <f t="shared" si="143"/>
        <v>2250</v>
      </c>
      <c r="K300" s="642">
        <f t="shared" si="141"/>
        <v>2500</v>
      </c>
      <c r="L300" s="542"/>
      <c r="M300" s="542"/>
      <c r="N300" s="542"/>
      <c r="O300" s="522"/>
    </row>
    <row r="301" spans="1:15" s="34" customFormat="1" x14ac:dyDescent="0.25">
      <c r="A301" s="188">
        <v>7</v>
      </c>
      <c r="B301" s="189" t="s">
        <v>1110</v>
      </c>
      <c r="C301" s="225" t="s">
        <v>28</v>
      </c>
      <c r="D301" s="225">
        <v>12</v>
      </c>
      <c r="E301" s="225">
        <v>1</v>
      </c>
      <c r="F301" s="227">
        <f t="shared" si="142"/>
        <v>2500</v>
      </c>
      <c r="G301" s="227">
        <f t="shared" si="138"/>
        <v>30000</v>
      </c>
      <c r="H301" s="268">
        <f t="shared" si="139"/>
        <v>50.8612505086125</v>
      </c>
      <c r="I301" s="642">
        <f t="shared" si="140"/>
        <v>900</v>
      </c>
      <c r="J301" s="642">
        <f t="shared" si="143"/>
        <v>1500</v>
      </c>
      <c r="K301" s="642">
        <f t="shared" si="141"/>
        <v>2500</v>
      </c>
      <c r="L301" s="542"/>
      <c r="M301" s="542"/>
      <c r="N301" s="542"/>
      <c r="O301" s="522"/>
    </row>
    <row r="302" spans="1:15" s="34" customFormat="1" x14ac:dyDescent="0.25">
      <c r="A302" s="188">
        <v>8</v>
      </c>
      <c r="B302" s="189" t="s">
        <v>1111</v>
      </c>
      <c r="C302" s="225" t="s">
        <v>28</v>
      </c>
      <c r="D302" s="225">
        <v>13</v>
      </c>
      <c r="E302" s="225">
        <v>1</v>
      </c>
      <c r="F302" s="227">
        <f t="shared" si="142"/>
        <v>2500</v>
      </c>
      <c r="G302" s="227">
        <f t="shared" si="138"/>
        <v>32500</v>
      </c>
      <c r="H302" s="268">
        <f t="shared" si="139"/>
        <v>55.099688050996875</v>
      </c>
      <c r="I302" s="642">
        <f t="shared" si="140"/>
        <v>975</v>
      </c>
      <c r="J302" s="642">
        <f t="shared" si="143"/>
        <v>1625</v>
      </c>
      <c r="K302" s="642">
        <f t="shared" si="141"/>
        <v>2500</v>
      </c>
      <c r="L302" s="542"/>
      <c r="M302" s="542"/>
      <c r="N302" s="542"/>
      <c r="O302" s="522"/>
    </row>
    <row r="303" spans="1:15" s="34" customFormat="1" x14ac:dyDescent="0.25">
      <c r="A303" s="188">
        <v>9</v>
      </c>
      <c r="B303" s="189" t="s">
        <v>1112</v>
      </c>
      <c r="C303" s="225" t="s">
        <v>28</v>
      </c>
      <c r="D303" s="225">
        <v>32</v>
      </c>
      <c r="E303" s="225">
        <v>1</v>
      </c>
      <c r="F303" s="227">
        <f t="shared" si="142"/>
        <v>2500</v>
      </c>
      <c r="G303" s="227">
        <f t="shared" si="138"/>
        <v>80000</v>
      </c>
      <c r="H303" s="268">
        <f t="shared" si="139"/>
        <v>135.6300013563</v>
      </c>
      <c r="I303" s="642">
        <f t="shared" si="140"/>
        <v>2400</v>
      </c>
      <c r="J303" s="642">
        <f t="shared" si="143"/>
        <v>4000</v>
      </c>
      <c r="K303" s="642">
        <f t="shared" si="141"/>
        <v>2500</v>
      </c>
      <c r="L303" s="542"/>
      <c r="M303" s="542"/>
      <c r="N303" s="542"/>
      <c r="O303" s="522"/>
    </row>
    <row r="304" spans="1:15" s="34" customFormat="1" x14ac:dyDescent="0.25">
      <c r="A304" s="188">
        <v>10</v>
      </c>
      <c r="B304" s="189" t="s">
        <v>1113</v>
      </c>
      <c r="C304" s="225" t="s">
        <v>28</v>
      </c>
      <c r="D304" s="225">
        <v>17</v>
      </c>
      <c r="E304" s="225">
        <v>1</v>
      </c>
      <c r="F304" s="227">
        <f t="shared" si="142"/>
        <v>2500</v>
      </c>
      <c r="G304" s="227">
        <f t="shared" si="138"/>
        <v>42500</v>
      </c>
      <c r="H304" s="268">
        <f t="shared" si="139"/>
        <v>72.053438220534375</v>
      </c>
      <c r="I304" s="642">
        <f t="shared" si="140"/>
        <v>1275</v>
      </c>
      <c r="J304" s="642">
        <f t="shared" si="143"/>
        <v>2125</v>
      </c>
      <c r="K304" s="642">
        <f t="shared" si="141"/>
        <v>2500</v>
      </c>
      <c r="L304" s="542"/>
      <c r="M304" s="542"/>
      <c r="N304" s="542"/>
      <c r="O304" s="522"/>
    </row>
    <row r="305" spans="1:15" s="34" customFormat="1" x14ac:dyDescent="0.25">
      <c r="A305" s="188">
        <v>11</v>
      </c>
      <c r="B305" s="189" t="s">
        <v>1114</v>
      </c>
      <c r="C305" s="225" t="s">
        <v>28</v>
      </c>
      <c r="D305" s="225">
        <v>90</v>
      </c>
      <c r="E305" s="225">
        <v>1</v>
      </c>
      <c r="F305" s="227">
        <f t="shared" si="142"/>
        <v>2500</v>
      </c>
      <c r="G305" s="227">
        <f t="shared" si="138"/>
        <v>225000</v>
      </c>
      <c r="H305" s="268">
        <f t="shared" si="139"/>
        <v>381.45937881459378</v>
      </c>
      <c r="I305" s="642">
        <f t="shared" si="140"/>
        <v>6750</v>
      </c>
      <c r="J305" s="642">
        <f t="shared" si="143"/>
        <v>11250</v>
      </c>
      <c r="K305" s="642">
        <f t="shared" si="141"/>
        <v>2500</v>
      </c>
      <c r="L305" s="542"/>
      <c r="M305" s="542"/>
      <c r="N305" s="542"/>
      <c r="O305" s="522"/>
    </row>
    <row r="306" spans="1:15" s="34" customFormat="1" x14ac:dyDescent="0.25">
      <c r="A306" s="188">
        <v>12</v>
      </c>
      <c r="B306" s="189" t="s">
        <v>1115</v>
      </c>
      <c r="C306" s="225" t="s">
        <v>28</v>
      </c>
      <c r="D306" s="225">
        <v>8</v>
      </c>
      <c r="E306" s="225">
        <v>1</v>
      </c>
      <c r="F306" s="227">
        <f t="shared" si="142"/>
        <v>2500</v>
      </c>
      <c r="G306" s="227">
        <f t="shared" si="138"/>
        <v>20000</v>
      </c>
      <c r="H306" s="268">
        <f t="shared" si="139"/>
        <v>33.907500339075</v>
      </c>
      <c r="I306" s="642">
        <f t="shared" si="140"/>
        <v>600</v>
      </c>
      <c r="J306" s="642">
        <f t="shared" si="143"/>
        <v>1000</v>
      </c>
      <c r="K306" s="642">
        <f t="shared" si="141"/>
        <v>2500</v>
      </c>
      <c r="L306" s="542"/>
      <c r="M306" s="542"/>
      <c r="N306" s="542"/>
      <c r="O306" s="522"/>
    </row>
    <row r="307" spans="1:15" s="34" customFormat="1" x14ac:dyDescent="0.25">
      <c r="A307" s="188">
        <v>13</v>
      </c>
      <c r="B307" s="189" t="s">
        <v>1116</v>
      </c>
      <c r="C307" s="225" t="s">
        <v>28</v>
      </c>
      <c r="D307" s="225">
        <v>18</v>
      </c>
      <c r="E307" s="225">
        <v>1</v>
      </c>
      <c r="F307" s="227">
        <f t="shared" si="142"/>
        <v>2500</v>
      </c>
      <c r="G307" s="227">
        <f t="shared" si="138"/>
        <v>45000</v>
      </c>
      <c r="H307" s="268">
        <f t="shared" si="139"/>
        <v>76.29187576291875</v>
      </c>
      <c r="I307" s="642">
        <f t="shared" si="140"/>
        <v>1350</v>
      </c>
      <c r="J307" s="642">
        <f t="shared" si="143"/>
        <v>2250</v>
      </c>
      <c r="K307" s="642">
        <f t="shared" si="141"/>
        <v>2500</v>
      </c>
      <c r="L307" s="542"/>
      <c r="M307" s="542"/>
      <c r="N307" s="542"/>
      <c r="O307" s="522"/>
    </row>
    <row r="308" spans="1:15" s="34" customFormat="1" x14ac:dyDescent="0.25">
      <c r="A308" s="188">
        <v>14</v>
      </c>
      <c r="B308" s="189" t="s">
        <v>1117</v>
      </c>
      <c r="C308" s="225" t="s">
        <v>28</v>
      </c>
      <c r="D308" s="225">
        <v>23</v>
      </c>
      <c r="E308" s="225">
        <v>1</v>
      </c>
      <c r="F308" s="227">
        <f t="shared" si="142"/>
        <v>2500</v>
      </c>
      <c r="G308" s="227">
        <f t="shared" si="138"/>
        <v>57500</v>
      </c>
      <c r="H308" s="268">
        <f t="shared" si="139"/>
        <v>97.484063474840625</v>
      </c>
      <c r="I308" s="642">
        <f t="shared" si="140"/>
        <v>1725</v>
      </c>
      <c r="J308" s="642">
        <f t="shared" si="143"/>
        <v>2875</v>
      </c>
      <c r="K308" s="642">
        <f t="shared" si="141"/>
        <v>2500</v>
      </c>
      <c r="L308" s="542"/>
      <c r="M308" s="542"/>
      <c r="N308" s="542"/>
      <c r="O308" s="522"/>
    </row>
    <row r="309" spans="1:15" s="34" customFormat="1" x14ac:dyDescent="0.25">
      <c r="A309" s="188">
        <v>15</v>
      </c>
      <c r="B309" s="189" t="s">
        <v>1118</v>
      </c>
      <c r="C309" s="225" t="s">
        <v>28</v>
      </c>
      <c r="D309" s="225">
        <v>21</v>
      </c>
      <c r="E309" s="225">
        <v>1</v>
      </c>
      <c r="F309" s="227">
        <f t="shared" si="142"/>
        <v>2500</v>
      </c>
      <c r="G309" s="227">
        <f t="shared" si="138"/>
        <v>52500</v>
      </c>
      <c r="H309" s="268">
        <f t="shared" si="139"/>
        <v>89.007188390071875</v>
      </c>
      <c r="I309" s="642">
        <f t="shared" si="140"/>
        <v>1575</v>
      </c>
      <c r="J309" s="642">
        <f t="shared" si="143"/>
        <v>2625</v>
      </c>
      <c r="K309" s="642">
        <f t="shared" si="141"/>
        <v>2500</v>
      </c>
      <c r="L309" s="542"/>
      <c r="M309" s="542"/>
      <c r="N309" s="542"/>
      <c r="O309" s="522"/>
    </row>
    <row r="310" spans="1:15" s="34" customFormat="1" x14ac:dyDescent="0.25">
      <c r="A310" s="188">
        <v>16</v>
      </c>
      <c r="B310" s="189" t="s">
        <v>1119</v>
      </c>
      <c r="C310" s="225" t="s">
        <v>28</v>
      </c>
      <c r="D310" s="225">
        <v>15</v>
      </c>
      <c r="E310" s="225">
        <v>1</v>
      </c>
      <c r="F310" s="227">
        <f t="shared" si="142"/>
        <v>2500</v>
      </c>
      <c r="G310" s="227">
        <f t="shared" si="138"/>
        <v>37500</v>
      </c>
      <c r="H310" s="268">
        <f t="shared" si="139"/>
        <v>63.576563135765625</v>
      </c>
      <c r="I310" s="642">
        <f t="shared" si="140"/>
        <v>1125</v>
      </c>
      <c r="J310" s="642">
        <f t="shared" si="143"/>
        <v>1875</v>
      </c>
      <c r="K310" s="642">
        <f t="shared" si="141"/>
        <v>2500</v>
      </c>
      <c r="L310" s="542"/>
      <c r="M310" s="542"/>
      <c r="N310" s="542"/>
      <c r="O310" s="522"/>
    </row>
    <row r="311" spans="1:15" x14ac:dyDescent="0.25">
      <c r="A311" s="188">
        <v>17</v>
      </c>
      <c r="B311" s="189" t="s">
        <v>1120</v>
      </c>
      <c r="C311" s="225" t="s">
        <v>28</v>
      </c>
      <c r="D311" s="225">
        <v>36</v>
      </c>
      <c r="E311" s="225">
        <v>1</v>
      </c>
      <c r="F311" s="227">
        <f t="shared" si="142"/>
        <v>2500</v>
      </c>
      <c r="G311" s="227">
        <f t="shared" si="138"/>
        <v>90000</v>
      </c>
      <c r="H311" s="268">
        <f t="shared" si="139"/>
        <v>152.5837515258375</v>
      </c>
      <c r="I311" s="642">
        <f t="shared" si="140"/>
        <v>2700</v>
      </c>
      <c r="J311" s="642">
        <f t="shared" si="143"/>
        <v>4500</v>
      </c>
      <c r="K311" s="642">
        <f t="shared" si="141"/>
        <v>2500</v>
      </c>
      <c r="L311" s="542"/>
      <c r="M311" s="542"/>
      <c r="N311" s="542"/>
      <c r="O311" s="522"/>
    </row>
    <row r="312" spans="1:15" x14ac:dyDescent="0.25">
      <c r="A312" s="188">
        <v>18</v>
      </c>
      <c r="B312" s="189" t="s">
        <v>1121</v>
      </c>
      <c r="C312" s="225" t="s">
        <v>28</v>
      </c>
      <c r="D312" s="225">
        <v>31</v>
      </c>
      <c r="E312" s="225">
        <v>1</v>
      </c>
      <c r="F312" s="227">
        <f t="shared" si="142"/>
        <v>2500</v>
      </c>
      <c r="G312" s="227">
        <f t="shared" si="138"/>
        <v>77500</v>
      </c>
      <c r="H312" s="268">
        <f t="shared" si="139"/>
        <v>131.39156381391564</v>
      </c>
      <c r="I312" s="642">
        <f t="shared" si="140"/>
        <v>2325</v>
      </c>
      <c r="J312" s="642">
        <f t="shared" si="143"/>
        <v>3875</v>
      </c>
      <c r="K312" s="642">
        <f t="shared" si="141"/>
        <v>2500</v>
      </c>
      <c r="L312" s="542"/>
      <c r="M312" s="542"/>
      <c r="N312" s="542"/>
      <c r="O312" s="522"/>
    </row>
    <row r="313" spans="1:15" x14ac:dyDescent="0.25">
      <c r="A313" s="188">
        <v>19</v>
      </c>
      <c r="B313" s="189" t="s">
        <v>1122</v>
      </c>
      <c r="C313" s="225" t="s">
        <v>28</v>
      </c>
      <c r="D313" s="225">
        <v>28</v>
      </c>
      <c r="E313" s="225">
        <v>1</v>
      </c>
      <c r="F313" s="227">
        <f t="shared" si="142"/>
        <v>2500</v>
      </c>
      <c r="G313" s="227">
        <f t="shared" si="138"/>
        <v>70000</v>
      </c>
      <c r="H313" s="268">
        <f t="shared" si="139"/>
        <v>118.6762511867625</v>
      </c>
      <c r="I313" s="642">
        <f t="shared" si="140"/>
        <v>2100</v>
      </c>
      <c r="J313" s="642">
        <f t="shared" si="143"/>
        <v>3500</v>
      </c>
      <c r="K313" s="642">
        <f t="shared" si="141"/>
        <v>2500</v>
      </c>
      <c r="L313" s="542"/>
      <c r="M313" s="542"/>
      <c r="N313" s="542"/>
      <c r="O313" s="522"/>
    </row>
    <row r="314" spans="1:15" x14ac:dyDescent="0.25">
      <c r="A314" s="188">
        <v>20</v>
      </c>
      <c r="B314" s="189" t="s">
        <v>429</v>
      </c>
      <c r="C314" s="225" t="s">
        <v>28</v>
      </c>
      <c r="D314" s="225">
        <v>19</v>
      </c>
      <c r="E314" s="225">
        <v>1</v>
      </c>
      <c r="F314" s="227">
        <f>12500-7500</f>
        <v>5000</v>
      </c>
      <c r="G314" s="227">
        <f t="shared" si="138"/>
        <v>95000</v>
      </c>
      <c r="H314" s="268">
        <f t="shared" si="139"/>
        <v>161.06062661060625</v>
      </c>
      <c r="I314" s="642">
        <f t="shared" si="140"/>
        <v>2850</v>
      </c>
      <c r="J314" s="642">
        <f>250*D314</f>
        <v>4750</v>
      </c>
      <c r="K314" s="642">
        <f t="shared" si="141"/>
        <v>5000</v>
      </c>
      <c r="L314" s="542"/>
      <c r="M314" s="542"/>
      <c r="N314" s="542"/>
      <c r="O314" s="522"/>
    </row>
    <row r="315" spans="1:15" x14ac:dyDescent="0.25">
      <c r="A315" s="188">
        <v>21</v>
      </c>
      <c r="B315" s="189" t="s">
        <v>430</v>
      </c>
      <c r="C315" s="225" t="s">
        <v>28</v>
      </c>
      <c r="D315" s="225">
        <v>0</v>
      </c>
      <c r="E315" s="225">
        <v>2</v>
      </c>
      <c r="F315" s="227">
        <v>25000</v>
      </c>
      <c r="G315" s="227">
        <f t="shared" si="138"/>
        <v>0</v>
      </c>
      <c r="H315" s="268">
        <f t="shared" si="139"/>
        <v>0</v>
      </c>
      <c r="I315" s="642">
        <f t="shared" si="140"/>
        <v>0</v>
      </c>
      <c r="J315" s="642">
        <f t="shared" ref="J315:J316" si="144">1050*D315</f>
        <v>0</v>
      </c>
      <c r="K315" s="642">
        <v>0</v>
      </c>
      <c r="L315" s="542"/>
      <c r="M315" s="542"/>
      <c r="N315" s="542"/>
      <c r="O315" s="522"/>
    </row>
    <row r="316" spans="1:15" x14ac:dyDescent="0.25">
      <c r="A316" s="188">
        <v>22</v>
      </c>
      <c r="B316" s="189" t="s">
        <v>431</v>
      </c>
      <c r="C316" s="225" t="s">
        <v>30</v>
      </c>
      <c r="D316" s="225">
        <v>0</v>
      </c>
      <c r="E316" s="225">
        <v>1</v>
      </c>
      <c r="F316" s="227">
        <v>850</v>
      </c>
      <c r="G316" s="227">
        <f t="shared" si="138"/>
        <v>0</v>
      </c>
      <c r="H316" s="268">
        <f t="shared" si="139"/>
        <v>0</v>
      </c>
      <c r="I316" s="642">
        <f t="shared" si="140"/>
        <v>0</v>
      </c>
      <c r="J316" s="642">
        <f t="shared" si="144"/>
        <v>0</v>
      </c>
      <c r="K316" s="642">
        <v>0</v>
      </c>
      <c r="L316" s="542"/>
      <c r="M316" s="542"/>
      <c r="N316" s="542"/>
      <c r="O316" s="522"/>
    </row>
    <row r="317" spans="1:15" ht="16.5" thickBot="1" x14ac:dyDescent="0.3">
      <c r="A317" s="188">
        <v>23</v>
      </c>
      <c r="B317" s="189" t="s">
        <v>432</v>
      </c>
      <c r="C317" s="225" t="s">
        <v>17</v>
      </c>
      <c r="D317" s="225">
        <v>0</v>
      </c>
      <c r="E317" s="225">
        <v>1</v>
      </c>
      <c r="F317" s="227">
        <v>800</v>
      </c>
      <c r="G317" s="227">
        <f t="shared" si="138"/>
        <v>0</v>
      </c>
      <c r="H317" s="268">
        <f t="shared" si="139"/>
        <v>0</v>
      </c>
      <c r="I317" s="642">
        <f t="shared" ref="I317" si="145">G317*0.03</f>
        <v>0</v>
      </c>
      <c r="J317" s="642">
        <f t="shared" ref="J317" si="146">1050*D317</f>
        <v>0</v>
      </c>
      <c r="K317" s="642">
        <v>1</v>
      </c>
      <c r="L317" s="522"/>
      <c r="M317" s="522"/>
      <c r="N317" s="572"/>
      <c r="O317" s="522"/>
    </row>
    <row r="318" spans="1:15" ht="18.75" thickBot="1" x14ac:dyDescent="0.3">
      <c r="A318" s="256"/>
      <c r="B318" s="257" t="s">
        <v>1399</v>
      </c>
      <c r="C318" s="258"/>
      <c r="D318" s="258"/>
      <c r="E318" s="258"/>
      <c r="F318" s="259"/>
      <c r="G318" s="260">
        <f>SUM(G295:G317)</f>
        <v>1210000</v>
      </c>
      <c r="H318" s="268">
        <f>SUM(H295:H317)</f>
        <v>2051.4037705140377</v>
      </c>
      <c r="I318" s="263">
        <f>SUM(I295:I317)</f>
        <v>36300</v>
      </c>
      <c r="J318" s="263">
        <f>SUM(J295:J317)</f>
        <v>60500</v>
      </c>
      <c r="K318" s="501"/>
      <c r="L318" s="522"/>
      <c r="M318" s="522"/>
      <c r="N318" s="572"/>
      <c r="O318" s="522"/>
    </row>
    <row r="319" spans="1:15" s="48" customFormat="1" ht="18" x14ac:dyDescent="0.25">
      <c r="A319" s="18"/>
      <c r="B319" s="18" t="s">
        <v>1389</v>
      </c>
      <c r="C319" s="18"/>
      <c r="D319" s="18"/>
      <c r="E319" s="18"/>
      <c r="F319" s="18"/>
      <c r="G319" s="18"/>
      <c r="H319" s="416"/>
      <c r="I319" s="416"/>
      <c r="J319" s="416"/>
      <c r="K319" s="416"/>
      <c r="L319" s="522"/>
      <c r="M319" s="522"/>
      <c r="N319" s="572"/>
      <c r="O319" s="522"/>
    </row>
    <row r="320" spans="1:15" s="48" customFormat="1" ht="16.5" thickBot="1" x14ac:dyDescent="0.3">
      <c r="A320" s="411">
        <v>1</v>
      </c>
      <c r="B320" s="412" t="s">
        <v>1388</v>
      </c>
      <c r="C320" s="404" t="s">
        <v>28</v>
      </c>
      <c r="D320" s="403">
        <v>15</v>
      </c>
      <c r="E320" s="404">
        <v>1</v>
      </c>
      <c r="F320" s="405">
        <v>5000</v>
      </c>
      <c r="G320" s="581">
        <f t="shared" ref="G320:G321" si="147">D320*E320*F320</f>
        <v>75000</v>
      </c>
      <c r="H320" s="415">
        <f t="shared" ref="H320:H321" si="148">G320/589.84</f>
        <v>127.15312627153125</v>
      </c>
      <c r="I320" s="642">
        <f t="shared" ref="I320" si="149">G320*0.03</f>
        <v>2250</v>
      </c>
      <c r="J320" s="642">
        <f>250*D320</f>
        <v>3750</v>
      </c>
      <c r="K320" s="642">
        <f t="shared" ref="K320:K321" si="150">G320/D320</f>
        <v>5000</v>
      </c>
      <c r="L320" s="522"/>
      <c r="M320" s="522"/>
      <c r="N320" s="572"/>
      <c r="O320" s="522"/>
    </row>
    <row r="321" spans="1:48" s="48" customFormat="1" ht="16.5" thickBot="1" x14ac:dyDescent="0.3">
      <c r="A321" s="188">
        <v>2</v>
      </c>
      <c r="B321" s="412" t="s">
        <v>1474</v>
      </c>
      <c r="C321" s="404" t="s">
        <v>1475</v>
      </c>
      <c r="D321" s="403">
        <v>2</v>
      </c>
      <c r="E321" s="404">
        <v>1</v>
      </c>
      <c r="F321" s="405">
        <v>50000</v>
      </c>
      <c r="G321" s="581">
        <f t="shared" si="147"/>
        <v>100000</v>
      </c>
      <c r="H321" s="409">
        <f t="shared" si="148"/>
        <v>169.537501695375</v>
      </c>
      <c r="I321" s="642">
        <f t="shared" ref="I321" si="151">G321*0.03</f>
        <v>3000</v>
      </c>
      <c r="J321" s="642">
        <f>1050*D321</f>
        <v>2100</v>
      </c>
      <c r="K321" s="642">
        <f t="shared" si="150"/>
        <v>50000</v>
      </c>
      <c r="L321" s="522"/>
      <c r="M321" s="522"/>
      <c r="N321" s="572"/>
      <c r="O321" s="522"/>
    </row>
    <row r="322" spans="1:48" ht="18.75" thickBot="1" x14ac:dyDescent="0.3">
      <c r="A322" s="341"/>
      <c r="B322" s="342" t="s">
        <v>1422</v>
      </c>
      <c r="C322" s="343"/>
      <c r="D322" s="343"/>
      <c r="E322" s="343"/>
      <c r="F322" s="344"/>
      <c r="G322" s="344">
        <f>SUM(G320:G321)</f>
        <v>175000</v>
      </c>
      <c r="H322" s="345">
        <f>SUM(H320:H321)</f>
        <v>296.69062796690628</v>
      </c>
      <c r="I322" s="263">
        <f>SUM(I320:I321)</f>
        <v>5250</v>
      </c>
      <c r="J322" s="263">
        <f>SUM(J320:J321)</f>
        <v>5850</v>
      </c>
      <c r="K322" s="642"/>
      <c r="L322" s="586"/>
      <c r="M322" s="586"/>
      <c r="N322" s="587"/>
      <c r="O322" s="529"/>
    </row>
    <row r="323" spans="1:48" s="48" customFormat="1" x14ac:dyDescent="0.25">
      <c r="A323" s="411">
        <v>1</v>
      </c>
      <c r="B323" s="417" t="s">
        <v>434</v>
      </c>
      <c r="C323" s="404"/>
      <c r="D323" s="403">
        <v>1</v>
      </c>
      <c r="E323" s="404">
        <v>1</v>
      </c>
      <c r="F323" s="405">
        <v>100000</v>
      </c>
      <c r="G323" s="405">
        <f t="shared" ref="G323" si="152">D323*E323*F323</f>
        <v>100000</v>
      </c>
      <c r="H323" s="415">
        <f t="shared" ref="H323" si="153">G323/589.84</f>
        <v>169.537501695375</v>
      </c>
      <c r="I323" s="642">
        <f t="shared" ref="I323" si="154">G323*0.03</f>
        <v>3000</v>
      </c>
      <c r="J323" s="642">
        <f>1600*D323</f>
        <v>1600</v>
      </c>
      <c r="K323" s="642">
        <f t="shared" ref="K323" si="155">G323/D323</f>
        <v>100000</v>
      </c>
      <c r="L323" s="555"/>
      <c r="M323" s="555"/>
      <c r="N323" s="555"/>
      <c r="O323" s="501"/>
    </row>
    <row r="324" spans="1:48" s="48" customFormat="1" ht="18" x14ac:dyDescent="0.25">
      <c r="A324" s="18"/>
      <c r="B324" s="18" t="s">
        <v>1390</v>
      </c>
      <c r="C324" s="18"/>
      <c r="D324" s="18"/>
      <c r="E324" s="18"/>
      <c r="F324" s="18"/>
      <c r="G324" s="18"/>
      <c r="H324" s="550"/>
      <c r="I324" s="530"/>
      <c r="J324" s="501"/>
      <c r="K324" s="501"/>
      <c r="L324" s="501"/>
      <c r="M324" s="501"/>
      <c r="N324" s="501"/>
      <c r="O324" s="501"/>
    </row>
    <row r="325" spans="1:48" s="48" customFormat="1" ht="18" x14ac:dyDescent="0.25">
      <c r="A325" s="569">
        <v>1</v>
      </c>
      <c r="B325" s="575" t="s">
        <v>1391</v>
      </c>
      <c r="C325" s="575" t="s">
        <v>17</v>
      </c>
      <c r="D325" s="576">
        <v>200</v>
      </c>
      <c r="E325" s="576">
        <v>1</v>
      </c>
      <c r="F325" s="581">
        <v>800</v>
      </c>
      <c r="G325" s="424">
        <f>+D325*E325*F325</f>
        <v>160000</v>
      </c>
      <c r="H325" s="425">
        <f>+G325/589.84</f>
        <v>271.2600027126</v>
      </c>
      <c r="I325" s="642">
        <v>0</v>
      </c>
      <c r="J325" s="642">
        <v>0</v>
      </c>
      <c r="K325" s="642">
        <v>0</v>
      </c>
      <c r="L325" s="529"/>
      <c r="M325" s="529"/>
      <c r="N325" s="573"/>
      <c r="O325" s="522"/>
    </row>
    <row r="326" spans="1:48" s="430" customFormat="1" ht="18" x14ac:dyDescent="0.25">
      <c r="A326" s="504">
        <v>2</v>
      </c>
      <c r="B326" s="577" t="s">
        <v>1339</v>
      </c>
      <c r="C326" s="577" t="s">
        <v>28</v>
      </c>
      <c r="D326" s="578">
        <v>1</v>
      </c>
      <c r="E326" s="578">
        <v>1</v>
      </c>
      <c r="F326" s="581">
        <v>8000</v>
      </c>
      <c r="G326" s="25">
        <f t="shared" ref="G326:G327" si="156">+D326*E326*F326</f>
        <v>8000</v>
      </c>
      <c r="H326" s="435">
        <f t="shared" ref="H326:H327" si="157">+G326/589.84</f>
        <v>13.56300013563</v>
      </c>
      <c r="I326" s="642">
        <f t="shared" ref="I326" si="158">G326*0.03</f>
        <v>240</v>
      </c>
      <c r="J326" s="642">
        <f>350*D326</f>
        <v>350</v>
      </c>
      <c r="K326" s="642">
        <f t="shared" ref="K326" si="159">G326/D326</f>
        <v>8000</v>
      </c>
      <c r="L326" s="501"/>
      <c r="M326" s="501"/>
      <c r="N326" s="565"/>
      <c r="O326" s="522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99"/>
    </row>
    <row r="327" spans="1:48" s="430" customFormat="1" ht="18.75" thickBot="1" x14ac:dyDescent="0.3">
      <c r="A327" s="504">
        <v>3</v>
      </c>
      <c r="B327" s="577" t="s">
        <v>1394</v>
      </c>
      <c r="C327" s="577" t="s">
        <v>28</v>
      </c>
      <c r="D327" s="578">
        <v>1</v>
      </c>
      <c r="E327" s="578">
        <v>1</v>
      </c>
      <c r="F327" s="581">
        <v>8000</v>
      </c>
      <c r="G327" s="25">
        <f t="shared" si="156"/>
        <v>8000</v>
      </c>
      <c r="H327" s="435">
        <f t="shared" si="157"/>
        <v>13.56300013563</v>
      </c>
      <c r="I327" s="642">
        <f t="shared" ref="I327" si="160">G327*0.03</f>
        <v>240</v>
      </c>
      <c r="J327" s="642">
        <f>350*D327</f>
        <v>350</v>
      </c>
      <c r="K327" s="642">
        <f t="shared" ref="K327" si="161">G327/D327</f>
        <v>8000</v>
      </c>
      <c r="L327" s="501"/>
      <c r="M327" s="501"/>
      <c r="N327" s="565"/>
      <c r="O327" s="522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99"/>
    </row>
    <row r="328" spans="1:48" ht="18.75" thickBot="1" x14ac:dyDescent="0.3">
      <c r="A328" s="256"/>
      <c r="B328" s="257" t="s">
        <v>1399</v>
      </c>
      <c r="C328" s="258"/>
      <c r="D328" s="258"/>
      <c r="E328" s="258"/>
      <c r="F328" s="259"/>
      <c r="G328" s="260">
        <f>SUM(G319:G324)</f>
        <v>450000</v>
      </c>
      <c r="H328" s="268">
        <f>SUM(H319:H324)</f>
        <v>762.91875762918755</v>
      </c>
      <c r="I328" s="263">
        <f>SUM(I325:I327)</f>
        <v>480</v>
      </c>
      <c r="J328" s="263">
        <f>SUM(J325:J327)</f>
        <v>700</v>
      </c>
      <c r="K328" s="555"/>
      <c r="L328" s="542"/>
      <c r="M328" s="542"/>
      <c r="N328" s="542"/>
      <c r="O328" s="542"/>
    </row>
    <row r="329" spans="1:48" s="481" customFormat="1" ht="18.75" x14ac:dyDescent="0.25">
      <c r="A329" s="478" t="s">
        <v>91</v>
      </c>
      <c r="B329" s="479"/>
      <c r="C329" s="480"/>
      <c r="D329" s="480"/>
      <c r="E329" s="480"/>
      <c r="F329" s="480"/>
      <c r="G329" s="482">
        <f>(G328+G323+G322+G318+G292+G260+G237+G213+G177+G155+G144+G137+G130+G123+G116+G109+G102+G95+G88+G81+G74+G67+G60+G53+G45+G38+G31+G24+G17)</f>
        <v>61676000</v>
      </c>
      <c r="H329" s="483">
        <f>(H328+H323+H322+H318+H292+H260+H237+H213+H177+H155+H144+H137+H130+H123+H116+H109+H102+H95+H88+H81+H74+H67+H60+H53+H45+H38+H31+H24+H17)</f>
        <v>104563.94954563949</v>
      </c>
      <c r="I329" s="482">
        <f>I17+I24+I31+I38+I45+I53+I60+I67+I74+I81+I88+I95+I102+I109+I116+I123+I130+I137+I144+I155+I177+I213+I237+I260+I292+I318+I322+I323+I328</f>
        <v>1621470</v>
      </c>
      <c r="J329" s="482">
        <f>J17+J24+J31+J38+J45+J53+J60+J67+J74+J81+J88+J95+J102+J109+J116+J123+J130+J137+J144+J155+J177+J213+J237+J260+J292+J318+J322+J323+J328</f>
        <v>1275375</v>
      </c>
      <c r="K329" s="564"/>
      <c r="L329" s="542"/>
      <c r="M329" s="542"/>
      <c r="N329" s="542"/>
      <c r="O329" s="542"/>
    </row>
    <row r="330" spans="1:48" s="34" customFormat="1" x14ac:dyDescent="0.25">
      <c r="A330" s="238"/>
      <c r="B330" s="238"/>
      <c r="C330" s="238"/>
      <c r="D330" s="237"/>
      <c r="E330" s="237"/>
      <c r="F330" s="237"/>
      <c r="G330" s="237"/>
      <c r="H330" s="237"/>
      <c r="I330" s="564"/>
      <c r="J330" s="564"/>
      <c r="K330" s="564"/>
      <c r="L330" s="564"/>
      <c r="M330" s="564"/>
      <c r="N330" s="564"/>
      <c r="O330" s="564"/>
      <c r="P330"/>
      <c r="Q330"/>
      <c r="R330"/>
      <c r="S330"/>
      <c r="T330"/>
      <c r="U330"/>
      <c r="V330"/>
      <c r="W330"/>
      <c r="X330"/>
      <c r="Y330"/>
    </row>
    <row r="331" spans="1:48" s="34" customFormat="1" x14ac:dyDescent="0.25">
      <c r="A331" s="238" t="s">
        <v>1535</v>
      </c>
      <c r="B331" s="238"/>
      <c r="C331" s="237"/>
      <c r="D331" s="237"/>
      <c r="E331" s="237"/>
      <c r="F331" s="237"/>
      <c r="G331" s="237"/>
      <c r="H331" s="237"/>
      <c r="I331" s="564"/>
      <c r="J331" s="564"/>
      <c r="K331" s="564"/>
      <c r="L331" s="564"/>
      <c r="M331" s="564"/>
      <c r="N331" s="564"/>
      <c r="O331" s="564"/>
      <c r="P331"/>
      <c r="Q331"/>
      <c r="R331"/>
      <c r="S331"/>
      <c r="T331"/>
      <c r="U331"/>
      <c r="V331"/>
      <c r="W331"/>
      <c r="X331"/>
      <c r="Y331"/>
    </row>
    <row r="332" spans="1:48" s="34" customFormat="1" x14ac:dyDescent="0.25">
      <c r="A332" s="238" t="s">
        <v>1538</v>
      </c>
      <c r="B332" s="238"/>
      <c r="C332" s="237"/>
      <c r="D332" s="237"/>
      <c r="E332" s="237"/>
      <c r="F332" s="237"/>
      <c r="G332" s="237"/>
      <c r="H332" s="237"/>
      <c r="I332" s="564"/>
      <c r="J332" s="564"/>
      <c r="K332" s="564"/>
      <c r="L332" s="564"/>
      <c r="M332" s="564"/>
      <c r="N332" s="564"/>
      <c r="O332" s="564"/>
      <c r="P332"/>
      <c r="Q332"/>
      <c r="R332"/>
      <c r="S332"/>
      <c r="T332"/>
      <c r="U332"/>
      <c r="V332"/>
      <c r="W332"/>
      <c r="X332"/>
      <c r="Y332"/>
    </row>
    <row r="333" spans="1:48" s="34" customFormat="1" x14ac:dyDescent="0.25">
      <c r="A333" s="238"/>
      <c r="B333" s="238"/>
      <c r="C333" s="237"/>
      <c r="D333" s="237"/>
      <c r="E333" s="237"/>
      <c r="F333" s="237"/>
      <c r="G333" s="237"/>
      <c r="H333" s="237"/>
      <c r="I333" s="564" t="s">
        <v>1536</v>
      </c>
      <c r="J333" s="564"/>
      <c r="K333" s="564"/>
      <c r="L333" s="564"/>
      <c r="M333" s="564"/>
      <c r="N333" s="564"/>
      <c r="O333" s="564"/>
      <c r="P333"/>
      <c r="Q333"/>
      <c r="R333"/>
      <c r="S333"/>
      <c r="T333"/>
      <c r="U333"/>
      <c r="V333"/>
      <c r="W333"/>
      <c r="X333"/>
      <c r="Y333"/>
    </row>
    <row r="334" spans="1:48" s="34" customFormat="1" x14ac:dyDescent="0.25">
      <c r="A334" s="238" t="s">
        <v>1331</v>
      </c>
      <c r="B334" s="238"/>
      <c r="C334" s="237"/>
      <c r="D334" s="237"/>
      <c r="E334" s="237"/>
      <c r="F334" s="237"/>
      <c r="G334" s="237"/>
      <c r="H334" s="237"/>
      <c r="I334" s="564"/>
      <c r="J334" s="564"/>
      <c r="K334" s="564"/>
      <c r="L334" s="564"/>
      <c r="M334" s="564" t="s">
        <v>1530</v>
      </c>
      <c r="N334" s="564"/>
      <c r="O334" s="542"/>
      <c r="P334"/>
      <c r="Q334"/>
      <c r="R334"/>
      <c r="S334"/>
      <c r="T334"/>
      <c r="U334"/>
      <c r="V334"/>
      <c r="W334"/>
      <c r="X334"/>
      <c r="Y334"/>
    </row>
    <row r="335" spans="1:48" s="34" customFormat="1" x14ac:dyDescent="0.25">
      <c r="A335" s="237"/>
      <c r="B335" s="239"/>
      <c r="C335" s="237"/>
      <c r="D335" s="237"/>
      <c r="E335" s="237"/>
      <c r="F335" s="237"/>
      <c r="G335" s="237"/>
      <c r="H335" s="237"/>
      <c r="I335" s="564"/>
      <c r="J335" s="564"/>
      <c r="K335" s="564"/>
      <c r="L335" s="564"/>
      <c r="M335" s="564"/>
      <c r="N335" s="564"/>
      <c r="O335" s="542"/>
      <c r="P335"/>
      <c r="Q335"/>
      <c r="R335"/>
      <c r="S335"/>
      <c r="T335"/>
      <c r="U335"/>
      <c r="V335"/>
      <c r="W335"/>
      <c r="X335"/>
      <c r="Y335"/>
    </row>
    <row r="336" spans="1:48" s="34" customFormat="1" x14ac:dyDescent="0.25">
      <c r="A336" s="240" t="s">
        <v>1537</v>
      </c>
      <c r="B336" s="241"/>
      <c r="C336" s="240"/>
      <c r="D336" s="240"/>
      <c r="E336" s="240"/>
      <c r="F336" s="240"/>
      <c r="G336" s="240"/>
      <c r="H336" s="237"/>
      <c r="I336"/>
      <c r="J336"/>
      <c r="K336"/>
      <c r="L336" s="564"/>
      <c r="M336" s="564"/>
      <c r="N336" s="564"/>
      <c r="O336" s="564"/>
      <c r="P336"/>
      <c r="Q336"/>
      <c r="R336"/>
      <c r="S336"/>
      <c r="T336"/>
      <c r="U336"/>
      <c r="V336"/>
      <c r="W336"/>
      <c r="X336"/>
      <c r="Y336"/>
    </row>
    <row r="337" spans="1:25" s="34" customFormat="1" x14ac:dyDescent="0.25">
      <c r="A337" s="240"/>
      <c r="B337" s="241"/>
      <c r="C337" s="240"/>
      <c r="D337" s="240"/>
      <c r="E337" s="240"/>
      <c r="F337" s="240"/>
      <c r="G337" s="237"/>
      <c r="H337" s="237"/>
      <c r="I337" s="236"/>
      <c r="J337" s="236"/>
      <c r="K337" s="236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</row>
    <row r="338" spans="1:25" x14ac:dyDescent="0.25">
      <c r="A338" s="240"/>
      <c r="B338" s="241"/>
      <c r="C338" s="240"/>
      <c r="D338" s="240"/>
      <c r="E338" s="240"/>
      <c r="F338" s="240"/>
      <c r="G338" s="240"/>
      <c r="H338" s="268"/>
      <c r="I338" s="236"/>
      <c r="J338" s="236"/>
      <c r="K338" s="236"/>
      <c r="L338" s="236"/>
      <c r="M338" s="236"/>
      <c r="N338" s="236"/>
    </row>
    <row r="339" spans="1:25" x14ac:dyDescent="0.25">
      <c r="A339" s="240"/>
      <c r="B339" s="241"/>
      <c r="C339" s="240"/>
      <c r="D339" s="240"/>
      <c r="E339" s="240"/>
      <c r="F339" s="240"/>
      <c r="G339" s="240"/>
      <c r="H339" s="268"/>
      <c r="I339" s="236"/>
      <c r="J339" s="236"/>
      <c r="K339" s="236"/>
      <c r="L339" s="236"/>
      <c r="M339" s="236"/>
      <c r="N339" s="236"/>
    </row>
    <row r="340" spans="1:25" x14ac:dyDescent="0.25">
      <c r="A340" s="240"/>
      <c r="B340" s="241"/>
      <c r="C340" s="240"/>
      <c r="D340" s="240"/>
      <c r="E340" s="240"/>
      <c r="F340" s="240"/>
      <c r="G340" s="240"/>
      <c r="H340" s="236"/>
      <c r="I340" s="236"/>
      <c r="J340" s="236"/>
      <c r="K340" s="236"/>
      <c r="L340" s="236"/>
      <c r="M340" s="236"/>
      <c r="N340" s="236"/>
    </row>
    <row r="341" spans="1:25" x14ac:dyDescent="0.25">
      <c r="A341" s="240"/>
      <c r="B341" s="241"/>
      <c r="C341" s="240"/>
      <c r="D341" s="240"/>
      <c r="E341" s="240"/>
      <c r="F341" s="240"/>
      <c r="G341" s="240"/>
      <c r="H341" s="236"/>
      <c r="I341" s="236"/>
      <c r="J341" s="236"/>
      <c r="K341" s="236"/>
      <c r="L341" s="236"/>
      <c r="M341" s="236"/>
      <c r="N341" s="236"/>
    </row>
    <row r="342" spans="1:25" x14ac:dyDescent="0.25">
      <c r="A342" s="240"/>
      <c r="B342" s="241"/>
      <c r="C342" s="240"/>
      <c r="D342" s="240"/>
      <c r="E342" s="240"/>
      <c r="F342" s="240"/>
      <c r="G342" s="240"/>
      <c r="H342" s="236"/>
      <c r="I342" s="236"/>
      <c r="J342" s="236"/>
      <c r="K342" s="236"/>
      <c r="L342" s="236"/>
      <c r="M342" s="236"/>
      <c r="N342" s="236"/>
    </row>
    <row r="343" spans="1:25" x14ac:dyDescent="0.25">
      <c r="A343" s="240"/>
      <c r="B343" s="241"/>
      <c r="C343" s="240"/>
      <c r="D343" s="240"/>
      <c r="E343" s="240"/>
      <c r="F343" s="240"/>
      <c r="G343" s="240"/>
      <c r="H343" s="236"/>
      <c r="I343" s="236"/>
      <c r="J343" s="236"/>
      <c r="K343" s="236"/>
      <c r="L343" s="236"/>
      <c r="M343" s="236"/>
      <c r="N343" s="236"/>
    </row>
    <row r="344" spans="1:25" x14ac:dyDescent="0.25">
      <c r="A344" s="240"/>
      <c r="B344" s="241"/>
      <c r="C344" s="240"/>
      <c r="D344" s="240"/>
      <c r="E344" s="240"/>
      <c r="F344" s="240"/>
      <c r="G344" s="240"/>
      <c r="H344" s="236"/>
      <c r="I344" s="236"/>
      <c r="J344" s="236"/>
      <c r="K344" s="236"/>
      <c r="L344" s="236"/>
      <c r="M344" s="236"/>
      <c r="N344" s="236"/>
    </row>
    <row r="345" spans="1:25" x14ac:dyDescent="0.25">
      <c r="I345" s="236"/>
      <c r="J345" s="236"/>
      <c r="K345" s="236"/>
    </row>
    <row r="346" spans="1:25" x14ac:dyDescent="0.25">
      <c r="I346" s="236"/>
      <c r="J346" s="236"/>
      <c r="K346" s="236"/>
    </row>
  </sheetData>
  <mergeCells count="8">
    <mergeCell ref="O7:O8"/>
    <mergeCell ref="A261:E261"/>
    <mergeCell ref="A292:E292"/>
    <mergeCell ref="A155:E155"/>
    <mergeCell ref="A145:E145"/>
    <mergeCell ref="A7:F7"/>
    <mergeCell ref="A156:E156"/>
    <mergeCell ref="A177:E1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RESUMO RECURSOS HUMANOS </vt:lpstr>
      <vt:lpstr>RECURSOS HUMANOS</vt:lpstr>
      <vt:lpstr>RS BAFATA</vt:lpstr>
      <vt:lpstr>RS BIJAGÓS</vt:lpstr>
      <vt:lpstr>RS BIOMBO</vt:lpstr>
      <vt:lpstr>RS BOLAMA</vt:lpstr>
      <vt:lpstr>RS CACHEU</vt:lpstr>
      <vt:lpstr>RS FARIM</vt:lpstr>
      <vt:lpstr>RS GABU</vt:lpstr>
      <vt:lpstr>RS OIO</vt:lpstr>
      <vt:lpstr>RS QUINARA</vt:lpstr>
      <vt:lpstr>RS SAB</vt:lpstr>
      <vt:lpstr>RS TOMBALI </vt:lpstr>
      <vt:lpstr>NÍVEL CENTRAL</vt:lpstr>
      <vt:lpstr>RESUMO DAS REGIÕES</vt:lpstr>
      <vt:lpstr>RESUMO DE COMBUSTÍVEL CAMPANHA</vt:lpstr>
      <vt:lpstr>																															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TIDIANE GANAME</cp:lastModifiedBy>
  <dcterms:created xsi:type="dcterms:W3CDTF">2023-07-16T14:29:54Z</dcterms:created>
  <dcterms:modified xsi:type="dcterms:W3CDTF">2024-10-28T20:58:35Z</dcterms:modified>
</cp:coreProperties>
</file>