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Lenovo\Desktop\ATIVIDADES 2024\WORKSHOP MALARIA Canchungo\FACE para Introdução Malaria\"/>
    </mc:Choice>
  </mc:AlternateContent>
  <xr:revisionPtr revIDLastSave="0" documentId="13_ncr:1_{C393E96B-CC04-426F-8877-0646E9F90CDA}" xr6:coauthVersionLast="47" xr6:coauthVersionMax="47" xr10:uidLastSave="{00000000-0000-0000-0000-000000000000}"/>
  <bookViews>
    <workbookView xWindow="-110" yWindow="-110" windowWidth="19420" windowHeight="10300" activeTab="1" xr2:uid="{00000000-000D-0000-FFFF-FFFF00000000}"/>
  </bookViews>
  <sheets>
    <sheet name="FACE Introduçao Malária" sheetId="1" r:id="rId1"/>
    <sheet name="Orcamento geral" sheetId="39" r:id="rId2"/>
    <sheet name="1. Adquirir cartões de vacinas" sheetId="42" r:id="rId3"/>
    <sheet name="2. Workshop ferramentas" sheetId="22" r:id="rId4"/>
    <sheet name="3 funcionamento" sheetId="23" r:id="rId5"/>
    <sheet name="4  impressao" sheetId="25" r:id="rId6"/>
    <sheet name="5 coordenacao" sheetId="24" r:id="rId7"/>
    <sheet name="6 adaptar modulosMenA" sheetId="26" r:id="rId8"/>
    <sheet name="7 atelier validar modulo" sheetId="27" r:id="rId9"/>
    <sheet name="8 formacao de formadores NC" sheetId="28" r:id="rId10"/>
    <sheet name="9 Formação de formadores N. Reg" sheetId="41" r:id="rId11"/>
    <sheet name="10 Plano comunicacao" sheetId="30" r:id="rId12"/>
    <sheet name="11 distribuicao vacinas Malária" sheetId="36" r:id="rId13"/>
    <sheet name="12 seguimento post MenA" sheetId="31" r:id="rId14"/>
    <sheet name="13 avaliacao post" sheetId="32" r:id="rId15"/>
    <sheet name="14 gestao MAPI Malária" sheetId="34" r:id="rId16"/>
    <sheet name="15 formacao plano comunica" sheetId="37" r:id="rId17"/>
    <sheet name="Orçamento geral Malária" sheetId="5" r:id="rId18"/>
    <sheet name="Sheet16" sheetId="35" state="hidden" r:id="rId19"/>
    <sheet name="Orcamento detalhado VAS2 2022" sheetId="18" state="hidden" r:id="rId2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4" l="1"/>
  <c r="E14" i="24"/>
  <c r="E11" i="42"/>
  <c r="C10" i="23" l="1"/>
  <c r="F49" i="31" l="1"/>
  <c r="F48" i="31"/>
  <c r="C39" i="31"/>
  <c r="F34" i="31"/>
  <c r="F36" i="31"/>
  <c r="F35" i="31"/>
  <c r="F31" i="31"/>
  <c r="F32" i="31"/>
  <c r="F27" i="31"/>
  <c r="F28" i="31"/>
  <c r="F23" i="31"/>
  <c r="F24" i="31"/>
  <c r="F19" i="31"/>
  <c r="F20" i="31"/>
  <c r="F16" i="31"/>
  <c r="F15" i="31"/>
  <c r="F12" i="31"/>
  <c r="F11" i="31"/>
  <c r="F14" i="31"/>
  <c r="F30" i="31"/>
  <c r="F26" i="31"/>
  <c r="F22" i="31"/>
  <c r="F18" i="31"/>
  <c r="F17" i="22"/>
  <c r="C16" i="22"/>
  <c r="F15" i="22"/>
  <c r="C46" i="41"/>
  <c r="F46" i="41" s="1"/>
  <c r="C45" i="41"/>
  <c r="C44" i="41"/>
  <c r="C15" i="30"/>
  <c r="C12" i="25"/>
  <c r="C13" i="25"/>
  <c r="C10" i="25"/>
  <c r="F29" i="32"/>
  <c r="F11" i="37"/>
  <c r="F14" i="34"/>
  <c r="F18" i="36" l="1"/>
  <c r="F17" i="36"/>
  <c r="F16" i="36"/>
  <c r="C21" i="36"/>
  <c r="C22" i="36"/>
  <c r="E9" i="42" l="1"/>
  <c r="F9" i="42" s="1"/>
  <c r="F10" i="42" s="1"/>
  <c r="B5" i="42" l="1"/>
  <c r="C5" i="39"/>
  <c r="D5" i="39" s="1"/>
  <c r="C25" i="32"/>
  <c r="D6" i="5"/>
  <c r="F10" i="31"/>
  <c r="C39" i="41"/>
  <c r="F39" i="41" s="1"/>
  <c r="F41" i="41"/>
  <c r="F42" i="41"/>
  <c r="C41" i="41"/>
  <c r="F40" i="41"/>
  <c r="C32" i="41"/>
  <c r="C30" i="41"/>
  <c r="F26" i="41"/>
  <c r="F25" i="41"/>
  <c r="F29" i="41"/>
  <c r="F28" i="41"/>
  <c r="F27" i="41"/>
  <c r="F24" i="41"/>
  <c r="F23" i="41"/>
  <c r="F22" i="41"/>
  <c r="F21" i="41"/>
  <c r="F20" i="41"/>
  <c r="F19" i="41"/>
  <c r="F18" i="41"/>
  <c r="F17" i="41"/>
  <c r="F16" i="41"/>
  <c r="F11" i="41"/>
  <c r="F12" i="41"/>
  <c r="F13" i="41"/>
  <c r="F14" i="41"/>
  <c r="F15" i="41"/>
  <c r="F30" i="41"/>
  <c r="F31" i="41"/>
  <c r="C36" i="41" l="1"/>
  <c r="F36" i="41" s="1"/>
  <c r="C35" i="41"/>
  <c r="F35" i="41" s="1"/>
  <c r="C19" i="28"/>
  <c r="F10" i="41"/>
  <c r="F32" i="41"/>
  <c r="F33" i="41"/>
  <c r="F34" i="41"/>
  <c r="F45" i="41"/>
  <c r="F44" i="41"/>
  <c r="F43" i="41"/>
  <c r="C15" i="27"/>
  <c r="F14" i="27"/>
  <c r="F13" i="27"/>
  <c r="C14" i="26"/>
  <c r="F12" i="26"/>
  <c r="F13" i="26"/>
  <c r="F14" i="25"/>
  <c r="F47" i="41" l="1"/>
  <c r="F37" i="41"/>
  <c r="F11" i="24"/>
  <c r="F48" i="41" l="1"/>
  <c r="C13" i="39" s="1"/>
  <c r="D13" i="39" s="1"/>
  <c r="B5" i="41"/>
  <c r="F22" i="32"/>
  <c r="F21" i="32"/>
  <c r="F20" i="32"/>
  <c r="F19" i="32"/>
  <c r="F18" i="32"/>
  <c r="F17" i="32"/>
  <c r="F16" i="32"/>
  <c r="F41" i="31"/>
  <c r="F24" i="36"/>
  <c r="F15" i="36"/>
  <c r="F14" i="36"/>
  <c r="F13" i="36"/>
  <c r="F12" i="36"/>
  <c r="F15" i="28" l="1"/>
  <c r="F11" i="28"/>
  <c r="F10" i="28"/>
  <c r="F11" i="27"/>
  <c r="F12" i="27"/>
  <c r="F10" i="27"/>
  <c r="F15" i="27"/>
  <c r="F11" i="26"/>
  <c r="F15" i="25"/>
  <c r="F16" i="23"/>
  <c r="F13" i="23"/>
  <c r="F12" i="22"/>
  <c r="F16" i="27" l="1"/>
  <c r="F18" i="30"/>
  <c r="F19" i="30"/>
  <c r="F20" i="30"/>
  <c r="F21" i="30" l="1"/>
  <c r="F12" i="30"/>
  <c r="F13" i="30"/>
  <c r="F14" i="30"/>
  <c r="F15" i="30"/>
  <c r="F16" i="30"/>
  <c r="F11" i="30"/>
  <c r="F10" i="30"/>
  <c r="F9" i="30"/>
  <c r="F17" i="30" l="1"/>
  <c r="F22" i="30" s="1"/>
  <c r="B5" i="30" s="1"/>
  <c r="C14" i="39" s="1"/>
  <c r="D14" i="39" s="1"/>
  <c r="F11" i="36"/>
  <c r="F19" i="36"/>
  <c r="F22" i="36"/>
  <c r="F23" i="36"/>
  <c r="F25" i="36"/>
  <c r="F10" i="36"/>
  <c r="F25" i="32" l="1"/>
  <c r="F15" i="32"/>
  <c r="F23" i="32"/>
  <c r="F28" i="32"/>
  <c r="F14" i="32"/>
  <c r="F10" i="32"/>
  <c r="F11" i="32"/>
  <c r="F12" i="32"/>
  <c r="F13" i="32"/>
  <c r="F9" i="32"/>
  <c r="F21" i="28" l="1"/>
  <c r="F10" i="37" l="1"/>
  <c r="F12" i="37" s="1"/>
  <c r="F12" i="34"/>
  <c r="F13" i="34"/>
  <c r="F10" i="34"/>
  <c r="F11" i="34"/>
  <c r="F40" i="31"/>
  <c r="F42" i="31"/>
  <c r="F43" i="31"/>
  <c r="F44" i="31"/>
  <c r="F45" i="31"/>
  <c r="F46" i="31"/>
  <c r="F47" i="31"/>
  <c r="F39" i="31"/>
  <c r="F21" i="36"/>
  <c r="F20" i="36"/>
  <c r="F26" i="36" s="1"/>
  <c r="F20" i="28"/>
  <c r="F19" i="28"/>
  <c r="F13" i="28"/>
  <c r="F12" i="28"/>
  <c r="F14" i="28"/>
  <c r="F16" i="28"/>
  <c r="F17" i="28"/>
  <c r="F18" i="28"/>
  <c r="F11" i="25"/>
  <c r="F12" i="25"/>
  <c r="F13" i="25"/>
  <c r="F10" i="25"/>
  <c r="F11" i="23"/>
  <c r="F12" i="23"/>
  <c r="F14" i="23"/>
  <c r="F15" i="23"/>
  <c r="F10" i="23"/>
  <c r="F17" i="23" s="1"/>
  <c r="F11" i="22"/>
  <c r="F13" i="22"/>
  <c r="F14" i="22"/>
  <c r="F16" i="22"/>
  <c r="F22" i="28" l="1"/>
  <c r="F50" i="31"/>
  <c r="F18" i="22"/>
  <c r="B5" i="22" s="1"/>
  <c r="C12" i="39"/>
  <c r="D12" i="39" s="1"/>
  <c r="B5" i="28"/>
  <c r="F16" i="25"/>
  <c r="F15" i="34"/>
  <c r="B5" i="36"/>
  <c r="C15" i="39" s="1"/>
  <c r="D15" i="39" s="1"/>
  <c r="C18" i="39" l="1"/>
  <c r="D18" i="39" s="1"/>
  <c r="B5" i="34"/>
  <c r="B5" i="37"/>
  <c r="C19" i="39" s="1"/>
  <c r="D19" i="39" s="1"/>
  <c r="C6" i="39" l="1"/>
  <c r="D6" i="39" s="1"/>
  <c r="D7" i="5"/>
  <c r="D8" i="5"/>
  <c r="D9" i="5"/>
  <c r="D10" i="5"/>
  <c r="D11" i="5"/>
  <c r="D12" i="5"/>
  <c r="D13" i="5"/>
  <c r="D14" i="5"/>
  <c r="D15" i="5"/>
  <c r="D16" i="5"/>
  <c r="D17" i="5"/>
  <c r="D18" i="5"/>
  <c r="D5" i="5"/>
  <c r="F27" i="32"/>
  <c r="F30" i="32" s="1"/>
  <c r="F24" i="32"/>
  <c r="F26" i="32" s="1"/>
  <c r="F31" i="32" s="1"/>
  <c r="B5" i="31"/>
  <c r="B5" i="27"/>
  <c r="C11" i="39" s="1"/>
  <c r="D11" i="39" s="1"/>
  <c r="F14" i="26"/>
  <c r="F10" i="26"/>
  <c r="F15" i="26" s="1"/>
  <c r="B5" i="25"/>
  <c r="C8" i="39" s="1"/>
  <c r="D8" i="39" s="1"/>
  <c r="F10" i="24"/>
  <c r="F12" i="24" s="1"/>
  <c r="C9" i="39" s="1"/>
  <c r="D9" i="39" s="1"/>
  <c r="B5" i="32" l="1"/>
  <c r="C17" i="39" s="1"/>
  <c r="D17" i="39" s="1"/>
  <c r="B5" i="26"/>
  <c r="C10" i="39" s="1"/>
  <c r="D10" i="39" s="1"/>
  <c r="B5" i="23"/>
  <c r="C7" i="39" s="1"/>
  <c r="D7" i="39" s="1"/>
  <c r="E350" i="18"/>
  <c r="E360" i="18"/>
  <c r="F359" i="18"/>
  <c r="G359" i="18" s="1"/>
  <c r="F360" i="18"/>
  <c r="G360" i="18" s="1"/>
  <c r="F361" i="18"/>
  <c r="G361" i="18" s="1"/>
  <c r="F358" i="18"/>
  <c r="G358" i="18" s="1"/>
  <c r="E385" i="18"/>
  <c r="F355" i="18"/>
  <c r="F356" i="18"/>
  <c r="G356" i="18" s="1"/>
  <c r="F357" i="18"/>
  <c r="G357" i="18" s="1"/>
  <c r="G354" i="18"/>
  <c r="E343" i="18"/>
  <c r="E353" i="18" s="1"/>
  <c r="F353" i="18"/>
  <c r="G353" i="18" s="1"/>
  <c r="F352" i="18"/>
  <c r="G352" i="18" s="1"/>
  <c r="E372" i="18"/>
  <c r="F391" i="18"/>
  <c r="F393" i="18"/>
  <c r="F394" i="18"/>
  <c r="F395" i="18"/>
  <c r="F396" i="18"/>
  <c r="F397" i="18"/>
  <c r="E389" i="18"/>
  <c r="E396" i="18" s="1"/>
  <c r="C16" i="39" l="1"/>
  <c r="D16" i="39" s="1"/>
  <c r="D20" i="39" s="1"/>
  <c r="F14" i="39" s="1"/>
  <c r="F372" i="18"/>
  <c r="G372" i="18" s="1"/>
  <c r="F392" i="18"/>
  <c r="G392" i="18" s="1"/>
  <c r="G355" i="18"/>
  <c r="F202" i="18"/>
  <c r="F199" i="18"/>
  <c r="F194" i="18"/>
  <c r="F195" i="18" s="1"/>
  <c r="C20" i="39" l="1"/>
  <c r="O16" i="1" s="1"/>
  <c r="A1" i="35"/>
  <c r="E159" i="18"/>
  <c r="F54" i="18"/>
  <c r="F55" i="18" s="1"/>
  <c r="G43" i="18"/>
  <c r="G42" i="18"/>
  <c r="G56" i="18" l="1"/>
  <c r="E192" i="18"/>
  <c r="F159" i="18" l="1"/>
  <c r="G132" i="18" l="1"/>
  <c r="G118" i="18"/>
  <c r="F153" i="18" l="1"/>
  <c r="F154" i="18" s="1"/>
  <c r="E180" i="18" l="1"/>
  <c r="E144" i="18"/>
  <c r="F144" i="18" s="1"/>
  <c r="F125" i="18" s="1"/>
  <c r="F133" i="18"/>
  <c r="G133" i="18" s="1"/>
  <c r="B94" i="18" l="1"/>
  <c r="F94" i="18" l="1"/>
  <c r="F93" i="18"/>
  <c r="F95" i="18"/>
  <c r="F97" i="18"/>
  <c r="F101" i="18"/>
  <c r="F103" i="18"/>
  <c r="F104" i="18"/>
  <c r="F105" i="18"/>
  <c r="F106" i="18"/>
  <c r="F107" i="18"/>
  <c r="F108" i="18"/>
  <c r="F109" i="18"/>
  <c r="F110" i="18"/>
  <c r="F99" i="18"/>
  <c r="F64" i="18"/>
  <c r="F29" i="18" l="1"/>
  <c r="F28" i="18"/>
  <c r="F27" i="18"/>
  <c r="F26" i="18"/>
  <c r="F25" i="18"/>
  <c r="F24" i="18"/>
  <c r="E390" i="18" l="1"/>
  <c r="E388" i="18"/>
  <c r="E387" i="18"/>
  <c r="E386" i="18"/>
  <c r="E384" i="18"/>
  <c r="E395" i="18" s="1"/>
  <c r="E383" i="18"/>
  <c r="E377" i="18"/>
  <c r="E382" i="18" s="1"/>
  <c r="E354" i="18"/>
  <c r="E351" i="18"/>
  <c r="E361" i="18" s="1"/>
  <c r="E349" i="18"/>
  <c r="E359" i="18" s="1"/>
  <c r="E348" i="18"/>
  <c r="E358" i="18" s="1"/>
  <c r="E347" i="18"/>
  <c r="E357" i="18" s="1"/>
  <c r="E346" i="18"/>
  <c r="E356" i="18" s="1"/>
  <c r="E345" i="18"/>
  <c r="E355" i="18" s="1"/>
  <c r="E342" i="18"/>
  <c r="E352" i="18" s="1"/>
  <c r="E305" i="18"/>
  <c r="E310" i="18" s="1"/>
  <c r="E304" i="18"/>
  <c r="E309" i="18" s="1"/>
  <c r="E303" i="18"/>
  <c r="E308" i="18" s="1"/>
  <c r="E302" i="18"/>
  <c r="E307" i="18" s="1"/>
  <c r="E301" i="18"/>
  <c r="E306" i="18" s="1"/>
  <c r="E271" i="18"/>
  <c r="E270" i="18"/>
  <c r="E269" i="18"/>
  <c r="E268" i="18"/>
  <c r="E275" i="18" s="1"/>
  <c r="E267" i="18"/>
  <c r="E265" i="18"/>
  <c r="E273" i="18" s="1"/>
  <c r="E264" i="18"/>
  <c r="E278" i="18" s="1"/>
  <c r="E263" i="18"/>
  <c r="E274" i="18" s="1"/>
  <c r="E262" i="18"/>
  <c r="E261" i="18"/>
  <c r="E238" i="18"/>
  <c r="E237" i="18"/>
  <c r="E236" i="18"/>
  <c r="E235" i="18"/>
  <c r="E234" i="18"/>
  <c r="E233" i="18"/>
  <c r="E227" i="18"/>
  <c r="E226" i="18"/>
  <c r="E232" i="18" s="1"/>
  <c r="E225" i="18"/>
  <c r="E231" i="18" s="1"/>
  <c r="E224" i="18"/>
  <c r="E223" i="18"/>
  <c r="E214" i="18"/>
  <c r="E194" i="18"/>
  <c r="E193" i="18"/>
  <c r="E191" i="18"/>
  <c r="E198" i="18" s="1"/>
  <c r="F198" i="18" s="1"/>
  <c r="E190" i="18"/>
  <c r="E197" i="18" s="1"/>
  <c r="E189" i="18"/>
  <c r="E183" i="18"/>
  <c r="E182" i="18"/>
  <c r="E179" i="18"/>
  <c r="E178" i="18"/>
  <c r="E177" i="18"/>
  <c r="E149" i="18"/>
  <c r="E148" i="18"/>
  <c r="E147" i="18"/>
  <c r="E146" i="18"/>
  <c r="E145" i="18"/>
  <c r="F145" i="18" s="1"/>
  <c r="E143" i="18"/>
  <c r="E142" i="18"/>
  <c r="E141" i="18"/>
  <c r="F141" i="18" s="1"/>
  <c r="E140" i="18"/>
  <c r="E139" i="18"/>
  <c r="E138" i="18"/>
  <c r="E165" i="18" s="1"/>
  <c r="F165" i="18" s="1"/>
  <c r="E137" i="18"/>
  <c r="E164" i="18" s="1"/>
  <c r="F164" i="18" s="1"/>
  <c r="E136" i="18"/>
  <c r="E163" i="18" s="1"/>
  <c r="F163" i="18" s="1"/>
  <c r="E135" i="18"/>
  <c r="E134" i="18"/>
  <c r="E112" i="18"/>
  <c r="F112" i="18" s="1"/>
  <c r="F113" i="18" s="1"/>
  <c r="E66" i="18"/>
  <c r="F66" i="18" s="1"/>
  <c r="E56" i="18"/>
  <c r="F56" i="18" s="1"/>
  <c r="E44" i="18"/>
  <c r="E43" i="18"/>
  <c r="F43" i="18" s="1"/>
  <c r="E42" i="18"/>
  <c r="F42" i="18" s="1"/>
  <c r="E41" i="18"/>
  <c r="F41" i="18" s="1"/>
  <c r="E40" i="18"/>
  <c r="F40" i="18" s="1"/>
  <c r="E29" i="18"/>
  <c r="E28" i="18"/>
  <c r="E27" i="18"/>
  <c r="E14" i="18"/>
  <c r="E277" i="18" l="1"/>
  <c r="E181" i="18"/>
  <c r="E199" i="18" s="1"/>
  <c r="E393" i="18"/>
  <c r="E31" i="18"/>
  <c r="F31" i="18" s="1"/>
  <c r="E158" i="18"/>
  <c r="F158" i="18" s="1"/>
  <c r="F149" i="18"/>
  <c r="E152" i="18"/>
  <c r="F142" i="18"/>
  <c r="E392" i="18"/>
  <c r="E394" i="18" s="1"/>
  <c r="F139" i="18"/>
  <c r="E151" i="18"/>
  <c r="E157" i="18"/>
  <c r="F157" i="18" s="1"/>
  <c r="F148" i="18"/>
  <c r="E161" i="18"/>
  <c r="F161" i="18" s="1"/>
  <c r="F134" i="18"/>
  <c r="G134" i="18" s="1"/>
  <c r="E228" i="18"/>
  <c r="E229" i="18"/>
  <c r="E162" i="18"/>
  <c r="F162" i="18" s="1"/>
  <c r="F135" i="18"/>
  <c r="G135" i="18" s="1"/>
  <c r="E155" i="18"/>
  <c r="F155" i="18" s="1"/>
  <c r="E153" i="18"/>
  <c r="F143" i="18"/>
  <c r="F124" i="18" s="1"/>
  <c r="F126" i="18" s="1"/>
  <c r="F127" i="18" s="1"/>
  <c r="E160" i="18"/>
  <c r="F160" i="18" s="1"/>
  <c r="F146" i="18"/>
  <c r="E230" i="18"/>
  <c r="E150" i="18"/>
  <c r="F140" i="18"/>
  <c r="G44" i="18"/>
  <c r="F44" i="18"/>
  <c r="F46" i="18" s="1"/>
  <c r="E156" i="18"/>
  <c r="F156" i="18" s="1"/>
  <c r="G156" i="18" s="1"/>
  <c r="F147" i="18"/>
  <c r="E195" i="18"/>
  <c r="E196" i="18"/>
  <c r="F196" i="18" s="1"/>
  <c r="E276" i="18"/>
  <c r="E397" i="18"/>
  <c r="E200" i="18"/>
  <c r="F200" i="18" s="1"/>
  <c r="E201" i="18"/>
  <c r="F201" i="18" s="1"/>
  <c r="E46" i="18"/>
  <c r="E312" i="18"/>
  <c r="E154" i="18"/>
  <c r="E240" i="18"/>
  <c r="E363" i="18"/>
  <c r="E167" i="18" l="1"/>
  <c r="E399" i="18"/>
  <c r="E203" i="18"/>
  <c r="E279" i="18"/>
  <c r="E403" i="18" s="1"/>
  <c r="C19" i="5" l="1"/>
  <c r="D19" i="5" s="1"/>
  <c r="O23" i="1" l="1"/>
  <c r="P45" i="1"/>
  <c r="M45" i="1"/>
  <c r="Q23" i="1"/>
  <c r="P23" i="1"/>
</calcChain>
</file>

<file path=xl/sharedStrings.xml><?xml version="1.0" encoding="utf-8"?>
<sst xmlns="http://schemas.openxmlformats.org/spreadsheetml/2006/main" count="1151" uniqueCount="646">
  <si>
    <t>Autorização de Financiamento e Certificado de Despesas</t>
  </si>
  <si>
    <t xml:space="preserve"> Agência das NU : UNICEF </t>
  </si>
  <si>
    <t>Tipo de Solicitação :</t>
  </si>
  <si>
    <r>
      <t xml:space="preserve">□  </t>
    </r>
    <r>
      <rPr>
        <sz val="10"/>
        <color indexed="8"/>
        <rFont val="Arial Narrow"/>
        <family val="2"/>
      </rPr>
      <t>Reembolso</t>
    </r>
  </si>
  <si>
    <t>□  Pagamento Directo</t>
  </si>
  <si>
    <t>Parceiro de Implementação:</t>
  </si>
  <si>
    <t>RELATÓRIOS DAS DESPESAS</t>
  </si>
  <si>
    <t>PEDIDOS / AUTORIZAÇÃO</t>
  </si>
  <si>
    <t>Descrição da actividade do plano de trabalho annual &amp; duração</t>
  </si>
  <si>
    <t>Código: UNDP, UNFPA and WFP</t>
  </si>
  <si>
    <t>valor Autorizado</t>
  </si>
  <si>
    <t>Despesas Realizadas do Projecto</t>
  </si>
  <si>
    <t>Despesas Aceites pela Agência</t>
  </si>
  <si>
    <t>Saldo</t>
  </si>
  <si>
    <t>Período &amp; Valores do Novo Pedido</t>
  </si>
  <si>
    <t>Valor Autorizado</t>
  </si>
  <si>
    <t>Valor Autorizado Por Justificar</t>
  </si>
  <si>
    <t>MM-MM-YYYY</t>
  </si>
  <si>
    <t>A</t>
  </si>
  <si>
    <t>B</t>
  </si>
  <si>
    <t>C</t>
  </si>
  <si>
    <t>D = A - C</t>
  </si>
  <si>
    <t>E</t>
  </si>
  <si>
    <t>F</t>
  </si>
  <si>
    <t>G = D + F</t>
  </si>
  <si>
    <t>Total</t>
  </si>
  <si>
    <t>CERTIFICAÇÃO</t>
  </si>
  <si>
    <t>O assinante abaixo, funcionário autorizado da instituição parceira de implementação certifica que:</t>
  </si>
  <si>
    <t>A solicitação dos fundos acima indicada representa a estimativa de despesas conforme o plano de trabalho anual e as estimativas de custos detalhados em anexo</t>
  </si>
  <si>
    <t>□</t>
  </si>
  <si>
    <t>Os gastos reais do periodo aqui referido foram desembolsados de acordo com o plano de trabalho anual e as estimativas dos gastos autorizados anteriormente. Os documentos contabilísticos relativos a estas despesas encontra-se-ão disponíveis para verificação durante cinco anos após a data do desembolso dos fundos.</t>
  </si>
  <si>
    <t>Nome &amp; Assinatura :</t>
  </si>
  <si>
    <t>NOTAS:</t>
  </si>
  <si>
    <t>*</t>
  </si>
  <si>
    <t>As Agências das NU devem completar as areas sombreadas, as não sombreadas serão completadas pela contraparte.</t>
  </si>
  <si>
    <t>PARA USO DAS NAÇÕES UNIDAS :</t>
  </si>
  <si>
    <t>PARA USO DAS AGÊNCIAS:</t>
  </si>
  <si>
    <t xml:space="preserve">      PARA USO DO UNICEF</t>
  </si>
  <si>
    <t>PARA USO DO UNFPA</t>
  </si>
  <si>
    <t>Certificado por :</t>
  </si>
  <si>
    <t>Código a Debitar</t>
  </si>
  <si>
    <t>Liquidação</t>
  </si>
  <si>
    <t>Novo Desembolso de Fundos</t>
  </si>
  <si>
    <t xml:space="preserve">  Nome:</t>
  </si>
  <si>
    <t>Referência da Transferência de Dinheiro:</t>
  </si>
  <si>
    <t xml:space="preserve"> DCT Reference: </t>
  </si>
  <si>
    <t>DCT Ref: CRQ ref.,  Voucher ref...</t>
  </si>
  <si>
    <t xml:space="preserve"> CRQ ref. no., Liquidation ref. no.</t>
  </si>
  <si>
    <t xml:space="preserve">  Atividade 1</t>
  </si>
  <si>
    <t xml:space="preserve">  Titulo :</t>
  </si>
  <si>
    <t xml:space="preserve">  Data:</t>
  </si>
  <si>
    <t>GL Codes:</t>
  </si>
  <si>
    <t>Valor Adiantado</t>
  </si>
  <si>
    <t xml:space="preserve">  Atividade 2</t>
  </si>
  <si>
    <t xml:space="preserve"> </t>
  </si>
  <si>
    <t xml:space="preserve"> Formação</t>
  </si>
  <si>
    <t>Menos:</t>
  </si>
  <si>
    <t>Aprovado por:</t>
  </si>
  <si>
    <t xml:space="preserve">  Viagem</t>
  </si>
  <si>
    <t xml:space="preserve">   Valor a Liquidar</t>
  </si>
  <si>
    <t xml:space="preserve">   Nome:</t>
  </si>
  <si>
    <t xml:space="preserve">  Reuniões e Conferencias</t>
  </si>
  <si>
    <t xml:space="preserve">   Valor Total</t>
  </si>
  <si>
    <t xml:space="preserve">    Titulo: </t>
  </si>
  <si>
    <t>Outras Trasnferencias do Dinheiro</t>
  </si>
  <si>
    <t xml:space="preserve">    Data :</t>
  </si>
  <si>
    <t>x</t>
  </si>
  <si>
    <t>Titulo: DGASS</t>
  </si>
  <si>
    <r>
      <t xml:space="preserve">X  </t>
    </r>
    <r>
      <rPr>
        <sz val="10"/>
        <color indexed="8"/>
        <rFont val="Arial Narrow"/>
        <family val="2"/>
      </rPr>
      <t>Transferência Directa de Dinheiro (DCT)</t>
    </r>
  </si>
  <si>
    <t>Código &amp; título do projecto: 6850/A0/05/100/002</t>
  </si>
  <si>
    <t>Código &amp; Nome do Programa: Sobreviviencia e desenvolvimento da criança</t>
  </si>
  <si>
    <t>DIRECÇÃO DE SERVIÇO DE IMUNIZAÇÃO E VIGILÂNCIA EPIDEMILÓGICA</t>
  </si>
  <si>
    <t xml:space="preserve">DESCRIÇÃO </t>
  </si>
  <si>
    <t>VALORES FCFA</t>
  </si>
  <si>
    <t>TOTAL GERAL</t>
  </si>
  <si>
    <t>A administradora</t>
  </si>
  <si>
    <t>Maira Fatima Siga</t>
  </si>
  <si>
    <t>País: Guiné Bissau</t>
  </si>
  <si>
    <t>VALORES USD</t>
  </si>
  <si>
    <t>Bissau, 30 de Junho de 2022</t>
  </si>
  <si>
    <t>Aquisição de materiais de comunicação para mobilização social</t>
  </si>
  <si>
    <t>Coordenação do programa</t>
  </si>
  <si>
    <t>Workshop de adaptação para módulos de treinamento VAR2</t>
  </si>
  <si>
    <t>Organização de um workshop de validação de manuais de formação adaptados</t>
  </si>
  <si>
    <t>Organização de treinamento técnico (DRS/ERS/AS) referente à introdução do VAR2</t>
  </si>
  <si>
    <t>Organização da formação de formadores (central e ERS) relativa à introdução do VAR2</t>
  </si>
  <si>
    <t>Distribuição de vacinas, consumíveis e ferramentas de gestão SIVE, do nível central ao</t>
  </si>
  <si>
    <t>Acompanhamento após a introdução do VAR2</t>
  </si>
  <si>
    <t>Avaliação após a introdução do VAR2</t>
  </si>
  <si>
    <t>Reforçar a vigilância do sarampo e outras doenças evitáveis ​​por vacinação, incluindo EAPV</t>
  </si>
  <si>
    <t>Gerenciar casos MAPI</t>
  </si>
  <si>
    <t>Desenvolvimento de um plano de comunicação para a introdução do VAR 2</t>
  </si>
  <si>
    <t>Custos de suporte do programa pagos aos parceiros da aliança</t>
  </si>
  <si>
    <t>Capacitação em comunicação para membros de organizações da sociedade civil (OSC), grupos e redes comunitárias</t>
  </si>
  <si>
    <t>2.8 Apoiar a introdução das novas vacinas</t>
  </si>
  <si>
    <t>Julho - Setembro 2022</t>
  </si>
  <si>
    <t>Nom de l'activité</t>
  </si>
  <si>
    <t>Description du budget</t>
  </si>
  <si>
    <t>Description de l'unité de coût</t>
  </si>
  <si>
    <t>Unité de coût détaillé</t>
  </si>
  <si>
    <t>Commentair</t>
  </si>
  <si>
    <t>Adquirir 6757 cartões de vacinação infantil</t>
  </si>
  <si>
    <t>As 6757 são instrumentos que são utilizados para o registro das vacinas ofertadas no momento da administração da unidade tem um custo de 1.701</t>
  </si>
  <si>
    <t>Quantidade do cartao de vacinaçao</t>
  </si>
  <si>
    <t>Custo  unitaire de cartao de vacinaçao</t>
  </si>
  <si>
    <t>Total custo dos cartoes de vacinaçao</t>
  </si>
  <si>
    <t>Achat des materiels de comunication pour la mobilisation sociale</t>
  </si>
  <si>
    <t>Dísticos, cartazes, camisas e jaquetas são objetos que serão usados ​​para chamar a atenção da população para promover a adesão e uma nova abordagem (2º ano de vida) que é usada pela primeira vez A vacina contra o sarampo não foi dada à criança apenas uma vez no ano 2000 baterias à taxa de 0,42 são para operação de megafones para transmissão de mensagens</t>
  </si>
  <si>
    <t>Número de banners de reconhecimento VAR2</t>
  </si>
  <si>
    <t>Número de pôsteres de conscientização VAR2</t>
  </si>
  <si>
    <t>Número de equipamentos de comunicação (baterias)</t>
  </si>
  <si>
    <t>Custo unitário do banner de conscientização VAR2</t>
  </si>
  <si>
    <t>Custo unitário do pôster de conscientização VAR3</t>
  </si>
  <si>
    <t>Custo unitário do equipamento de comunicação (baterias)</t>
  </si>
  <si>
    <t>Custo total do banner de conscientização VAR2</t>
  </si>
  <si>
    <t>Custo Total do Pôster de Conscientização do VAR3</t>
  </si>
  <si>
    <t>Custos totais Aquisição de equipamentos de comunicação</t>
  </si>
  <si>
    <t>Unité de coût détaillé USD</t>
  </si>
  <si>
    <t>Coordination du programme</t>
  </si>
  <si>
    <t>L'introduction du vaccin antirougeoleux en 2Y2 en vue de renforcer l'immunité des enfants est une approche inédite dans le pays. Pour cette raison, un lancement officiel est prevu afin d'informer et sensebilizer la population afin de rejoindre les services de vacination rejoindre</t>
  </si>
  <si>
    <t>Reunião du CCIA pour l´approbation</t>
  </si>
  <si>
    <t xml:space="preserve">Cette cérémonie est présidée par le Ministre de la Santé et réunira les partenaires, les techniciens de santé, les directeurs du Ministère de la Santé, un groupe théâtral fera une dramatisation pour faire du vaccin antirougeoleux un musicien et invitera à animer l'acte La matière du son et des chaises seront louées, 
</t>
  </si>
  <si>
    <t>Lancement officiel</t>
  </si>
  <si>
    <t>Location de matériel et son</t>
  </si>
  <si>
    <t>Recrutement d’un groupe théâtral, pour l’animation de l’événement</t>
  </si>
  <si>
    <t>Coût total de bouteilles d’eau</t>
  </si>
  <si>
    <t>Location de tentes</t>
  </si>
  <si>
    <t xml:space="preserve"> Location de chaises</t>
  </si>
  <si>
    <t>Total coûts de Coordinatio do programa</t>
  </si>
  <si>
    <t>Atelier d'adapation des modules de formation VAR2</t>
  </si>
  <si>
    <t>Il est prevu 3 jours  pour l'adaptation des modules VAR existants</t>
  </si>
  <si>
    <t>Participants</t>
  </si>
  <si>
    <t>Les participants sont au nombre de 9</t>
  </si>
  <si>
    <t>Nombre de jours</t>
  </si>
  <si>
    <t>Coût pause café par participant et par jour</t>
  </si>
  <si>
    <t xml:space="preserve">Total coûts d`atelier d´adaptation des manuels </t>
  </si>
  <si>
    <t>Organisation d'un atelier de validation des manuels de formation adapté</t>
  </si>
  <si>
    <t>Organisation Alelier d'une journée pour valider le module de formation VAR2 adapté
20 participants attendus parmi les partenaires, membres du comité technique de vaccination et techeciens du PEV
Coût de la pause par participant-11,2</t>
  </si>
  <si>
    <t xml:space="preserve">Total coûts d`atelier de validation des manuels </t>
  </si>
  <si>
    <t>Organisation de la formation des formateurs (central et ERS) concernant l'introduction de  VAR2</t>
  </si>
  <si>
    <t>Formation de 48 techniciens de santé 2 par région (directeur régional et point focal PAV) membres du comité technique de vaccination membres de l'équipe pav centrale, partenaires, en termes de introduction  du VAR2, concernant non seulement les techniciens mais aussi les chauffeurs; le carburant, le transport des participants insulaires. Estimation du coût des kits de formation de soutien personnel
 1 café est offert à chaque participant</t>
  </si>
  <si>
    <t>Participants régionaux non résidents: directeurs et points focaux du PEV (Bolama, Farim, Gabu, Quinara et Tombali)</t>
  </si>
  <si>
    <t>Participants régionaux non résidents par nuit: Bolama, Farim, Gabu, Quinara et Tombali</t>
  </si>
  <si>
    <t>Participants régionaux non résidents: directeurs et points focaux du PEV (Biombo, Cacheu, Bafata et Oio)</t>
  </si>
  <si>
    <t>Participants régionaux non résidents par nuit: Biombo, Cacheu, Bafata et Oio</t>
  </si>
  <si>
    <t>Participants régionaux non résidents: directeur et point focal du PEV (région de l'île Bijagos)</t>
  </si>
  <si>
    <t>Participants régionaux non résidents par nuit: région de l'île Bijagos</t>
  </si>
  <si>
    <t>Participants résidents régionaux: directeur du PEV et point focal (région SAB)</t>
  </si>
  <si>
    <t>Cchauffeurs régionaux non résidents (Bolama, Farim, Gabu, Quinara et Tombali)</t>
  </si>
  <si>
    <t>Nombre de chauffeurs régionaux non résidents (Bafata, Biombo, Cacheu et Oio)</t>
  </si>
  <si>
    <t>Nombre de conducteur régional résident: (Région SAB)</t>
  </si>
  <si>
    <t>Nombre de participants à l'équipe PEV</t>
  </si>
  <si>
    <t>Nombre de participants Comité technique de vaccination</t>
  </si>
  <si>
    <t>Nombre de partenaire UNICEF, OMS, PLAN et SOLINA</t>
  </si>
  <si>
    <t>Nombre de personnel de appui logistique</t>
  </si>
  <si>
    <t>Nombre de personnel de appui au nettoyage</t>
  </si>
  <si>
    <t>Nombre total de participants</t>
  </si>
  <si>
    <t>Perdiem participant régional non résident par jour</t>
  </si>
  <si>
    <t>Perdiem participant résident par jour</t>
  </si>
  <si>
    <t>Coût du transport (région insulaire)</t>
  </si>
  <si>
    <t>Perdiem un chauffeur régional non résident par jour (Bolama, Farim, Gabu, Quinara et Tombali)</t>
  </si>
  <si>
    <t>Coût d'un partenaire UNICEF, WHO, PLAN et SOLINA par jour</t>
  </si>
  <si>
    <t>Perdiem un personnel de appui logistique par jour</t>
  </si>
  <si>
    <t>Perdiem un personnel de nettoyage par jour</t>
  </si>
  <si>
    <t>Coût  pause café participant par jour</t>
  </si>
  <si>
    <t>Quantité de carburant pour les participants régionaux (litres)</t>
  </si>
  <si>
    <t>Coût carburant par litre</t>
  </si>
  <si>
    <t>Nombre de guide à reliure</t>
  </si>
  <si>
    <t>Coût de reliure</t>
  </si>
  <si>
    <t>Nombre de kit de formation</t>
  </si>
  <si>
    <t>Coût d'un kit de formation</t>
  </si>
  <si>
    <t>Coût total des participants non résidents</t>
  </si>
  <si>
    <t>Coût total des participants résidents</t>
  </si>
  <si>
    <t>Coût total du personnel de appui</t>
  </si>
  <si>
    <t>Coût total du personnel de nettoyage</t>
  </si>
  <si>
    <t>Coût total de la pause-café</t>
  </si>
  <si>
    <t>Coût total du kit de formation</t>
  </si>
  <si>
    <t>Coût total du carburant participants régionaux</t>
  </si>
  <si>
    <t>Coût total du transport par participant voyage (région insulaire)</t>
  </si>
  <si>
    <t>Total coûts de materiels de comunication</t>
  </si>
  <si>
    <t>Organisation de la formation des techniciens (DRS/ ERS / AS) concernant l'introduction de VAR2</t>
  </si>
  <si>
    <t xml:space="preserve">Formation des réseaux techniques (DRS / ERS / AS) concernant l'introduction de VAR2
Perdiem pour les participants et les facilitateurs de la formation du niveau central et des chauffeurs
Transport pour les participants non résidents
Carburant pour les véhicules des facilitateurs et pour le fonctionnement des groupes électrogènes au niveau régional
Estimation du coût des péages et des traversées fluviales
Le café est offert à chaque participant
Kits de formation ??????Formation des réseaux techniques (DRS / ERS / AS) concernant l'introduction de VAR2
                                                                 </t>
  </si>
  <si>
    <t xml:space="preserve">Participants non résidents </t>
  </si>
  <si>
    <t>Participants résidents</t>
  </si>
  <si>
    <t>Participants ERS</t>
  </si>
  <si>
    <t>Administrateurs régionaux</t>
  </si>
  <si>
    <t>Personnels d'appui</t>
  </si>
  <si>
    <t>Facilitateurs régionaux</t>
  </si>
  <si>
    <t>Facilitateurs du niveau central (Bolama, Farim, Gabu, Quinara et Tombali)</t>
  </si>
  <si>
    <t>Chauffeurs de niveau central (Bolama, Farim, Gabu et Tombali)</t>
  </si>
  <si>
    <t>Facilitateurs du niveau central (SAB, Biombo, Cacheu, Bafata et Oio)</t>
  </si>
  <si>
    <t>Chauffeurs de niveau central (SAB, Biombo et Cacheu)</t>
  </si>
  <si>
    <t>Facilitateurs du niveau central (région de l'île Bijagos)</t>
  </si>
  <si>
    <t>Nombre du partinaire</t>
  </si>
  <si>
    <t>Durée</t>
  </si>
  <si>
    <t>Nombre participants non residents continent et Bolama</t>
  </si>
  <si>
    <t>Carburant pour transport participants 10 AS Bijagós</t>
  </si>
  <si>
    <t>Carburant pour Facilitateurs niveau central</t>
  </si>
  <si>
    <t>Carburant pour groupe electrogene DRS</t>
  </si>
  <si>
    <t>Péages</t>
  </si>
  <si>
    <t>Traversée Farim</t>
  </si>
  <si>
    <t>Traversée Bolama</t>
  </si>
  <si>
    <t>Perdiem participants résident par jour</t>
  </si>
  <si>
    <t>Perdiem participants non résident par jour</t>
  </si>
  <si>
    <t>Transport participants non residents continent et Bolama</t>
  </si>
  <si>
    <t>Perdiem facilitateur régional par jour</t>
  </si>
  <si>
    <t>Perdiem facilitateur du niveau central par jour</t>
  </si>
  <si>
    <t>Perdiem chauffeur de niveau central par jour</t>
  </si>
  <si>
    <t>Transport facilitateur de niveau central par voyage (région de l'île de Bijagos)</t>
  </si>
  <si>
    <t xml:space="preserve">Coût de carburant </t>
  </si>
  <si>
    <t>Perdiem personnel d'appui logistique (administrateur) par jour</t>
  </si>
  <si>
    <t>Perdiem personnel de nettoyage par jour</t>
  </si>
  <si>
    <t>Coût pause café participant par jour</t>
  </si>
  <si>
    <t>Coût total participants non résidents</t>
  </si>
  <si>
    <t>Coût total participants résidents</t>
  </si>
  <si>
    <t>Coût total facilitateurs régionaux</t>
  </si>
  <si>
    <t>Coût total Facilitateurs et chauffeurs du niveau central (Bolama, Farim, Gabu, Quinara et Tombali)</t>
  </si>
  <si>
    <t>Coût total facilitateurs et chauffeursdu niveau central (SAB, Biombo et Cacheu)</t>
  </si>
  <si>
    <t>Niveau central facilitant le coût total (région de l'île Bijagos)</t>
  </si>
  <si>
    <t>Coût personnel total du soutien logistique (administrateurs régionaux)</t>
  </si>
  <si>
    <t>Coût personnel total du support de nettoyage</t>
  </si>
  <si>
    <t>Coût transport participants non residents continent et Bolama</t>
  </si>
  <si>
    <t>Coût de carburant pour transport participants 10 AS Bijagós</t>
  </si>
  <si>
    <t>Coût de carburant pour Facilitateurs niveau central</t>
  </si>
  <si>
    <t>Coût de carburant pour groupe electrogene DRS</t>
  </si>
  <si>
    <t>Coût des péages</t>
  </si>
  <si>
    <t>Coût de traversée Farim</t>
  </si>
  <si>
    <t>Coût de traversée Bolama</t>
  </si>
  <si>
    <t>Total coûts de la formation des techniciens (DRS/ ERS / AS) concernant l'introduction de VAR2</t>
  </si>
  <si>
    <t>Distribution de vaccins, consommables et outils de gestion SIVE, du niveau central ve</t>
  </si>
  <si>
    <t xml:space="preserve">Distribution de vaccins et de consommables à toutes les réunions, évitant ainsi les ruptures de stock
Attendus 2 chauffeurs et 2 logistiques                               Custo travessia  viaturas Portagens?????;          
Location de camions - carburant pour le camion ??? Coût des  Péages ?????
vaccins Bijagos à coût trans;                        Prevista 2 motoristas e 2 logisticos;        Aluguer de camiao- combustivel para o camiao???;                                                          
</t>
  </si>
  <si>
    <t>Nombre logiticiens</t>
  </si>
  <si>
    <t>Nombre chauffeurs</t>
  </si>
  <si>
    <t>Convoyeur (logisticien) de distribution des consommables de vaccination</t>
  </si>
  <si>
    <t>Carburant pour la distribution des vaccins (Biombo et Cacheu)</t>
  </si>
  <si>
    <t>Carburant pour la distribution des vaccins (Oio et Farim)</t>
  </si>
  <si>
    <t>Carburant pour la distribution des vaccins (Bafatá et Gabu)</t>
  </si>
  <si>
    <t>Carburant pour la distribution des vaccins (Tombali, Quinara et Bolama)</t>
  </si>
  <si>
    <t>Total de carburant  de  distribution des vaccines et consommables de vaccination</t>
  </si>
  <si>
    <t>Traversée de Farim</t>
  </si>
  <si>
    <t>Traversée de São João Bolama</t>
  </si>
  <si>
    <t>Nombre de jours de distribution vaccines (continental)</t>
  </si>
  <si>
    <t>Convayeur (logistique) de distribution des consommables de vaccination</t>
  </si>
  <si>
    <t xml:space="preserve">Logiticines distribution vaccins RS Bijagós </t>
  </si>
  <si>
    <t xml:space="preserve">Nombre de jours de distribution vaccins RS Bijagós </t>
  </si>
  <si>
    <t>Location de camion par jour</t>
  </si>
  <si>
    <t>Perdiem logisticiens par jour</t>
  </si>
  <si>
    <t>Transport logisticiens</t>
  </si>
  <si>
    <t>Transport de vaccins et matériel de vaccination (Bijagós)</t>
  </si>
  <si>
    <t>Litre de carburant</t>
  </si>
  <si>
    <t xml:space="preserve">Coût traversée  Farim </t>
  </si>
  <si>
    <t>Coût traversée de São João (Bolama)</t>
  </si>
  <si>
    <t>Coût total pour les logisticiens de 9 regions</t>
  </si>
  <si>
    <t>Coût total pour les logisticiens RS Bijagós</t>
  </si>
  <si>
    <t>Coût total d'expédition vaccins et consommables Bijagos</t>
  </si>
  <si>
    <t>Coût total transport des vaccins et du matériel de vaccination (Bijagós)</t>
  </si>
  <si>
    <t>Coût total carburant</t>
  </si>
  <si>
    <t>Coût total traversée de Farim</t>
  </si>
  <si>
    <t>Coût total traversée de São João Bolama</t>
  </si>
  <si>
    <t xml:space="preserve">Total coûts de Distribution de vaccins, consommables et outils de gestion </t>
  </si>
  <si>
    <t>Suivi après l'introduction de VAR2</t>
  </si>
  <si>
    <t>Actividade prevista para o seguimento das actividades pos introducao constatacao de problemas no que diz respeito a implmentacao por forma a tomada de medidas correctivas; Os Supervisores visitarao  todas as areas sanitarias do pais; Prevista peridiem dos supervisores e dos respectivos motorista; Prevista combustivel para as deslocacoes; custo das portagem e das travessias</t>
  </si>
  <si>
    <t>Nombre de superviseurs pour la suivi Régions Sanitaires continent et Bolama</t>
  </si>
  <si>
    <t>Nombre de superviseurs pour Région Sanitaire Bijagós</t>
  </si>
  <si>
    <t>Nombre Chauffeurs pour Régions Sanitaires continent et Bolama</t>
  </si>
  <si>
    <t>Nombre de jours pour la suivi Régions Sanitaires continent et Bolama</t>
  </si>
  <si>
    <t>Nombre de jours pour la suivi pour la Région Sanitaire Bijagós</t>
  </si>
  <si>
    <t>Carburant pour Régions Sanitaires continent et Bolama</t>
  </si>
  <si>
    <t>Carburant (essence) pour Région Sanitaire Bijagós</t>
  </si>
  <si>
    <t>Nombre des péages</t>
  </si>
  <si>
    <t>Nombre de traversée Farim</t>
  </si>
  <si>
    <t>Nobre de travesse Bolama</t>
  </si>
  <si>
    <t>Nobre de travesse Tchetche</t>
  </si>
  <si>
    <t>Nobre de travesse Komo</t>
  </si>
  <si>
    <t>Nobre de traversée Jeta</t>
  </si>
  <si>
    <t>Nombre de traversée Pecixe</t>
  </si>
  <si>
    <t>Perdiem superviseur et  chauffeur du niveau central par jour</t>
  </si>
  <si>
    <t>Coût carburant (essence) par litre</t>
  </si>
  <si>
    <t>Coût de péage</t>
  </si>
  <si>
    <t>Transport superviseur de niveau central par voyage (région sanitaire Bijagós)</t>
  </si>
  <si>
    <t>Coût total superviseurs et chauffeurs du niveau central pour Régions Sanitaires continent et Bolama</t>
  </si>
  <si>
    <t>Coût total superviseur du niveau central pour Région Sanitaire Bijagós</t>
  </si>
  <si>
    <t>Coût total du carburant  pour Régions Sanitaires continent et Bolama</t>
  </si>
  <si>
    <t>Coût total du carburant (essence) pour Région Sanitaire Bijagós</t>
  </si>
  <si>
    <t>Coût de traversée Tchetche</t>
  </si>
  <si>
    <t>Coût de traversée Komo</t>
  </si>
  <si>
    <t>Coût de traversée Jeta</t>
  </si>
  <si>
    <t>Coût de traversée Pecixe</t>
  </si>
  <si>
    <t>Total de coûts de suivi après l'introduction de VAR2</t>
  </si>
  <si>
    <t>Évaluation apost l'introduction de VAR2</t>
  </si>
  <si>
    <t>Il s agira d' 1 Atelier pour faire le point sur l'introduction du VAR2 au niveau de tout le pays .Cette activité concerne tous les directeurs régionaux et points focaux PAV. Les partenaires sont invités et les membres du comité technique. Perdiems de tous les  techniciens régionaux et leurs chauffeurs sont prevues, du carburant pour les deplacements, le transport des participants de l'île Bijagos et du café est offert a chaque  participant</t>
  </si>
  <si>
    <t>Nombre nuit des participants régionaux non résidents : Bolama, Farim, Gabu, Quinara et Tombali</t>
  </si>
  <si>
    <t>Nombre nuit des participantss régionaux non résidents: Biombo, Cacheu, Bafata et Oio</t>
  </si>
  <si>
    <t>Nombre nuit des participants non résidents des 'îles Bijagós</t>
  </si>
  <si>
    <t>Nombre de  chauffeur régional résident: (Région SAB+ comite technique pev)</t>
  </si>
  <si>
    <t>Nombre de participants  PEV central</t>
  </si>
  <si>
    <t>Nombre de personnel de appu pour nettoyage</t>
  </si>
  <si>
    <t>Perdiem un personnel de soutien logistique par jour</t>
  </si>
  <si>
    <t>Total coûts de Évaluation apost l'introduction de VAR2</t>
  </si>
  <si>
    <t>Renforcemet de la surveillance de rougeole et d'autres maladies évitables par la vaccination, y compris MAPI</t>
  </si>
  <si>
    <t xml:space="preserve">Mettre a niveau le plateau technique de laboratoire, facilite le controle de qualite appuier en reactif et consommables. Cette activites seront prises en charge par </t>
  </si>
  <si>
    <t>Nombre de participants</t>
  </si>
  <si>
    <t>Perdre un participant par jour</t>
  </si>
  <si>
    <t>Coût de la pause café par participant et par jour</t>
  </si>
  <si>
    <t>Responsabilidade da OMS</t>
  </si>
  <si>
    <t>Depende da OMS</t>
  </si>
  <si>
    <t>Gérer les cas MAPI</t>
  </si>
  <si>
    <t>achat des médicaments: adrénaline</t>
  </si>
  <si>
    <t>Numéro de region sanitaire</t>
  </si>
  <si>
    <t>achat des médicaments: hydrocortisone</t>
  </si>
  <si>
    <t>Quantité de adrénaline</t>
  </si>
  <si>
    <t>achat des médicaments: paracétamol</t>
  </si>
  <si>
    <t>Quantité de  hydrocortisone</t>
  </si>
  <si>
    <t>achat des medicaments: seringues</t>
  </si>
  <si>
    <t>Quantité de  paracétamol</t>
  </si>
  <si>
    <t>achat des médicaments: diluants</t>
  </si>
  <si>
    <t>Quantité de seringues</t>
  </si>
  <si>
    <t>Quantité de diluants</t>
  </si>
  <si>
    <t>Coût unitaire de l'adrénaline</t>
  </si>
  <si>
    <t>Coût unitaire de l'hydrocortisone</t>
  </si>
  <si>
    <t>Coût unitaire du paracétamol</t>
  </si>
  <si>
    <t>Coût unitaire des seringues</t>
  </si>
  <si>
    <t>Coût unitaire des diluants</t>
  </si>
  <si>
    <t>Coût total de l'adrénaline</t>
  </si>
  <si>
    <t>Coût total de l'hydrocortisone</t>
  </si>
  <si>
    <t>Coût total du paracétamol</t>
  </si>
  <si>
    <t>Coût total des seringues</t>
  </si>
  <si>
    <t>Coût total des diluants</t>
  </si>
  <si>
    <t>Total coûts de Gérer les cas MAPI</t>
  </si>
  <si>
    <t>Elaboration un plan de communication pour introduction de VAR 2</t>
  </si>
  <si>
    <t>Elaborer les messages sur l'introduction de MenAfriVac;Tester les messages sur l'introduction de  VAR2;  Valider les messages sur l'introduction de  VAR2; Organiser la formation des agents de santé communautaire au niveau régional (Communautés); Sensibiliser la communauté sur le VAR2  à travers les ASC (nouveau calendrier de vaccination); Organiser la formation des agents de santé communautaire niveau régional (Communautés)Çensibiliser la communauté sur le VAR2  à travers les ASC (nouveau calendrier de vaccination): Sensibiliser la communauté sur le VAR2  à travers les ASC (nouveau calendrier de vaccination); Diffuser les messages sur le VAR2 dans les médias  (radio communautaire; radio privée, radio publique et a laTV); Organiser la collecte d'informations et la sensibilisation des journalistes; Pause café; Organiser les sessions de plaidoyer et d'information pour les autorités politiques, traditionnelles et religieuses au niveau central; Organiser des sessions de plaidoyer et de sensibilisation des autorités politiques, traditionnelles et religieuses au niveau régional.</t>
  </si>
  <si>
    <t>PM</t>
  </si>
  <si>
    <t>Nombre de radio communautaire</t>
  </si>
  <si>
    <t>Nombre de radio privée</t>
  </si>
  <si>
    <t>Nombre de radio publique</t>
  </si>
  <si>
    <t>Nombre de TV</t>
  </si>
  <si>
    <t>Durée de la formation ASC</t>
  </si>
  <si>
    <t>Durée de diffusion des messages à la communauté</t>
  </si>
  <si>
    <t>Durée de collecte des informations</t>
  </si>
  <si>
    <t>Durée de diffusion du message (radio communautaire)</t>
  </si>
  <si>
    <t>Durée de diffusion du message (radio privée)</t>
  </si>
  <si>
    <t>Durée de diffusion du message (publication radio)</t>
  </si>
  <si>
    <t>Durée de diffusion du message (TV)</t>
  </si>
  <si>
    <t>Durée des sessions par plaidoyer et information au niveau central</t>
  </si>
  <si>
    <t>Durée des sessions de plaidoyer et d'information au niveau régional</t>
  </si>
  <si>
    <t>Coût unitaire de formation d'un ASC par jour</t>
  </si>
  <si>
    <t>Coût unitaire de diffusion des messages par ASC par jour</t>
  </si>
  <si>
    <t>Coût unitaire de diffusion d'un message par jour (radio communautaire)</t>
  </si>
  <si>
    <t>Coût unitaire de diffusion d'un message par jour (radio privée)</t>
  </si>
  <si>
    <t>Coût unitaire de diffusion d'un message par jour (publication radio)</t>
  </si>
  <si>
    <t>Coût unitaire de diffusion d'un message par jour (TV)</t>
  </si>
  <si>
    <t>Coût pour un journaliste de sensibilisatio par jour</t>
  </si>
  <si>
    <t>Coût de la pause-café par participant par jour</t>
  </si>
  <si>
    <t>Coût par personne et journée de sessions de plaidoyer et d'information au niveau central</t>
  </si>
  <si>
    <t>Coût par personne et journée de sessions de plaidoyer et d'information au niveau régional</t>
  </si>
  <si>
    <t>Coût total de la formation ASC</t>
  </si>
  <si>
    <t>Coût total de la diffusion des messages par ASC</t>
  </si>
  <si>
    <t>Coût total de diffusion du message (radio communautaire)</t>
  </si>
  <si>
    <t>Coût total de diffusion du message (radio privée)</t>
  </si>
  <si>
    <t>Coût total de diffusion des messages (publier)</t>
  </si>
  <si>
    <t>Coût total de diffusion du message (TV)</t>
  </si>
  <si>
    <t>Coût total des journalistes de sensibilisation</t>
  </si>
  <si>
    <t>Coût total des participants pause café</t>
  </si>
  <si>
    <t>Coût total des sessions de plaidoyer et d'information au niveau central</t>
  </si>
  <si>
    <t>Coût total des sessions de plaidoyer et d'information au niveau régional</t>
  </si>
  <si>
    <t>Total coûts de Elaboration un plan de communication pour introduction de VAR 2</t>
  </si>
  <si>
    <t xml:space="preserve">Coûts du soutien aux programmes payés aux partenaires de l'Alliance   </t>
  </si>
  <si>
    <t xml:space="preserve">Quantidade total de atividades * 5/100 </t>
  </si>
  <si>
    <t xml:space="preserve">Total coûts du soutien aux programmes payés aux partenaires de l'Alliance   </t>
  </si>
  <si>
    <t xml:space="preserve">Formation en comunication des membres des organisations de la société civile (OSC), des groupes communautaires et des réseaux </t>
  </si>
  <si>
    <t>Formation en comunication des membres des organisations de la société civile (OSC), des groupes communautaires et des réseaux de ONG  sur l´introduction  du VAR2, concernant non seulement les (OSC) mais aussi les OSC de tuote les régions  Estimation du coût  de formation de soutien personnel
 et 1 café est offert à chaque participant</t>
  </si>
  <si>
    <t>Participants régionaux non résidents: 11 Point focal; 33 Organisations de la société civile (OSC); Bolama 3 RAS; Farim 5 RAS ; Gabu 19 RAS; Quinara 6 RAS; Tombali 8  RAS; Biombo 8 RAS; Cacheu 19 RAS, Bafatá14; Oio 10 RAS ; Oio 14 RAS; Bijagós 1 RAS.</t>
  </si>
  <si>
    <t xml:space="preserve">Participants régionaux non résidents : 10 RAS Bijagós;   </t>
  </si>
  <si>
    <t>Participants régionaux non résidents par nuit: région de l'île Bijagós</t>
  </si>
  <si>
    <t xml:space="preserve">Facilitateurs regionaux </t>
  </si>
  <si>
    <t>Coût du transport (région insulaire) deux fois</t>
  </si>
  <si>
    <t>Coût du transport région Bafatá, Cacheu, Oio, Farim Gabú, Biombo Bolama, Quinara, Tombali</t>
  </si>
  <si>
    <t xml:space="preserve">Coût du transport région (4) insular </t>
  </si>
  <si>
    <t>Coût total des participants non résidents de l'île Bijagos</t>
  </si>
  <si>
    <t>Coût total des transports non résidents (9 régions sanitaires)</t>
  </si>
  <si>
    <t>Coût total des facilitateurs</t>
  </si>
  <si>
    <t>Coût total du personnel de appui au nettoyage</t>
  </si>
  <si>
    <t xml:space="preserve">Total coûts du soutien aux programmes </t>
  </si>
  <si>
    <t>Restante</t>
  </si>
  <si>
    <t>Titulo de Atividade:  Introducao da vacina MenA 2022</t>
  </si>
  <si>
    <t>Parceiro de Implementação:Direcção de Serviço Imunização e Vigilância Epidemiológia</t>
  </si>
  <si>
    <t>Periodo:  Julho/2022</t>
  </si>
  <si>
    <t>Ref do FACE (A ser preenchido pelo UNICEF):</t>
  </si>
  <si>
    <r>
      <t>Montante Solicitado: 5.600.00</t>
    </r>
    <r>
      <rPr>
        <b/>
        <sz val="10"/>
        <rFont val="Arial"/>
        <family val="2"/>
      </rPr>
      <t xml:space="preserve"> Fcfa</t>
    </r>
  </si>
  <si>
    <r>
      <t xml:space="preserve">Montante Solicitado: </t>
    </r>
    <r>
      <rPr>
        <b/>
        <sz val="10"/>
        <rFont val="Arial"/>
        <family val="2"/>
      </rPr>
      <t xml:space="preserve"> </t>
    </r>
  </si>
  <si>
    <t>Orcamento Aprovado (conforme FACE aprovado pelo UNICEF)</t>
  </si>
  <si>
    <t>Explicacao</t>
  </si>
  <si>
    <t>Rubricas</t>
  </si>
  <si>
    <t>Unid</t>
  </si>
  <si>
    <t>Qde</t>
  </si>
  <si>
    <t>Frequencia</t>
  </si>
  <si>
    <t>C. Unitário</t>
  </si>
  <si>
    <t>C. Total Fcfa</t>
  </si>
  <si>
    <t>Unidade</t>
  </si>
  <si>
    <t>Qdade</t>
  </si>
  <si>
    <t>Freequencia</t>
  </si>
  <si>
    <t>C.U</t>
  </si>
  <si>
    <t>Custo Total</t>
  </si>
  <si>
    <t>Sub-Total</t>
  </si>
  <si>
    <t>Compra de cartões de vacinação infantil</t>
  </si>
  <si>
    <t xml:space="preserve">  </t>
  </si>
  <si>
    <t>Total Geral</t>
  </si>
  <si>
    <t>Pausa café</t>
  </si>
  <si>
    <t>Oficial responsavel: Iaia Turé</t>
  </si>
  <si>
    <t>MINSAP / DSIVE</t>
  </si>
  <si>
    <t>Moeda : __Francos CFA_XOF________________________</t>
  </si>
  <si>
    <t>Iaia Turé</t>
  </si>
  <si>
    <t>Parceiro de Implementação: Direcção de Serviço Imunização e Vigilância Epidemiológica</t>
  </si>
  <si>
    <t>Custo total da água engarrafada</t>
  </si>
  <si>
    <t>Quantidade de combustível para participantes regionais (litros)</t>
  </si>
  <si>
    <t>Formulario para orçamento solicitado pelo Parceiro do Governo</t>
  </si>
  <si>
    <t>Orçamento Solicitado (conforme FACE submetido)</t>
  </si>
  <si>
    <t>Atividade 4</t>
  </si>
  <si>
    <t>Atividade 3</t>
  </si>
  <si>
    <t>Atividade 2</t>
  </si>
  <si>
    <t>Atividade 5</t>
  </si>
  <si>
    <t>Atividade 6</t>
  </si>
  <si>
    <t>Atividade 7</t>
  </si>
  <si>
    <t>Atividade 8</t>
  </si>
  <si>
    <t>Atividade 10</t>
  </si>
  <si>
    <t>Atividade 12</t>
  </si>
  <si>
    <t>Atividades 15</t>
  </si>
  <si>
    <t>Atividades 13</t>
  </si>
  <si>
    <t>N</t>
  </si>
  <si>
    <t>Organizar um workshop para adaptar as ferramentas de gestão do programa relacionadas com a introdução do MenAfriVac na rotina do EPI</t>
  </si>
  <si>
    <t>Número de participantes SIVE Nivel Central</t>
  </si>
  <si>
    <t>Funcionamento do programa</t>
  </si>
  <si>
    <t>Pacotes de resmas de papel A4</t>
  </si>
  <si>
    <t>Toner para impressora</t>
  </si>
  <si>
    <t>Tonner para fotocopiadora</t>
  </si>
  <si>
    <t>Tambores da fotocopiadora</t>
  </si>
  <si>
    <t>Reprografia de ferramentas de gestão de programas</t>
  </si>
  <si>
    <t>Camisolas</t>
  </si>
  <si>
    <t>Organização de um Atelier de validação de módulos de formação adaptados</t>
  </si>
  <si>
    <t>Participantes Comitê Técnico de Vacinação</t>
  </si>
  <si>
    <t>Pessoal de apoio à limpeza</t>
  </si>
  <si>
    <t>Pausa Café</t>
  </si>
  <si>
    <t>Portagem</t>
  </si>
  <si>
    <t>Travessia Farim</t>
  </si>
  <si>
    <t>Distribuição de vacinas, consumíveis e ferramentas de gestão SIVE, desde o nível central às regiões de saúde</t>
  </si>
  <si>
    <t>Combustível para distribuição de vacinas (Tombali, Quinara e Bolama)</t>
  </si>
  <si>
    <t>Travessias do Pecixe</t>
  </si>
  <si>
    <t>Travessia Jeta</t>
  </si>
  <si>
    <t>Combustível (gasolina) para a Região Sanitária dos Bijagós</t>
  </si>
  <si>
    <t>Travessia  Bolama</t>
  </si>
  <si>
    <t>Travessia Komo</t>
  </si>
  <si>
    <t>Hidrocortisona</t>
  </si>
  <si>
    <t>Paracetamol</t>
  </si>
  <si>
    <t>Pessoal de apoio</t>
  </si>
  <si>
    <t>Data : 24 10 2022</t>
  </si>
  <si>
    <t>Data da Submissão : 24 10 2022</t>
  </si>
  <si>
    <t>Bissau, 24/10/2022</t>
  </si>
  <si>
    <t>Custo total de transmissão da mensagem (TV)</t>
  </si>
  <si>
    <t>Custo total de jornalistas de divulgação</t>
  </si>
  <si>
    <t>Custo total dos participantes do coffee break</t>
  </si>
  <si>
    <t>Nº</t>
  </si>
  <si>
    <t>Reprografia de ferramentas de gerenciamento de programas</t>
  </si>
  <si>
    <t>Organização de um workshop de validação de módulos de formação adaptados</t>
  </si>
  <si>
    <t>Disticos</t>
  </si>
  <si>
    <t>Chapeu</t>
  </si>
  <si>
    <t>Custo  total de diffusao de menssagems (radio privada)</t>
  </si>
  <si>
    <t>Recrutamento de um grupo musical ou de teatro para a animação do evento</t>
  </si>
  <si>
    <t>´1</t>
  </si>
  <si>
    <t>´2</t>
  </si>
  <si>
    <t>´3</t>
  </si>
  <si>
    <t>´4</t>
  </si>
  <si>
    <t>´5</t>
  </si>
  <si>
    <t>´6</t>
  </si>
  <si>
    <t>´7</t>
  </si>
  <si>
    <t>´8</t>
  </si>
  <si>
    <t>´9</t>
  </si>
  <si>
    <t>´10</t>
  </si>
  <si>
    <t>´11</t>
  </si>
  <si>
    <t>´12</t>
  </si>
  <si>
    <t>´13</t>
  </si>
  <si>
    <t>´14</t>
  </si>
  <si>
    <t>´15</t>
  </si>
  <si>
    <t>Participantes CTV</t>
  </si>
  <si>
    <t>Número de participantes PNLP Nivel Central</t>
  </si>
  <si>
    <t xml:space="preserve">Aluguer de sala </t>
  </si>
  <si>
    <t xml:space="preserve">Combustível e outros </t>
  </si>
  <si>
    <t>Toner para impressora KIOCERA</t>
  </si>
  <si>
    <t>Despesa de representação</t>
  </si>
  <si>
    <t>Roll-up</t>
  </si>
  <si>
    <t>Pausa Cafe e almoço por participante por dia</t>
  </si>
  <si>
    <t xml:space="preserve">Pessoal de apoio </t>
  </si>
  <si>
    <t xml:space="preserve">Participantes DSIVE </t>
  </si>
  <si>
    <t xml:space="preserve">Participantes PNLP </t>
  </si>
  <si>
    <t>Organização da formação de formadores (central e ERS) sobre a introdução do Malária</t>
  </si>
  <si>
    <t>Parceiros UNICEF, OMS, PLAN, SOLINA, BM e PNUD</t>
  </si>
  <si>
    <t>Facilitadores NC</t>
  </si>
  <si>
    <t>Honorário Facilitadores NC</t>
  </si>
  <si>
    <t>Participantes Grupo Técnico consultivo de Vacinação</t>
  </si>
  <si>
    <t>Custo total de diffusao des menssagens (publicidade)</t>
  </si>
  <si>
    <t>TOTAL Geral</t>
  </si>
  <si>
    <t>Logísticos NC (Quinara, Tombali e Bolama)</t>
  </si>
  <si>
    <t>Motoristas NC (Quinara, Tombali e Bolama)</t>
  </si>
  <si>
    <t xml:space="preserve">Óleo de 2T Bijagos </t>
  </si>
  <si>
    <t>Avaliação após a introdução do Malária</t>
  </si>
  <si>
    <t>Participantes Regionais Não Residentes: Diretor e Ponto Focal do PAV (Bijagós)</t>
  </si>
  <si>
    <t>Participantes Nivel Central do SIVE</t>
  </si>
  <si>
    <t>Participantes Nivel Central do PNLP</t>
  </si>
  <si>
    <t>Partipantes (INASA, PSB)</t>
  </si>
  <si>
    <t>Motorista regional residente SAB</t>
  </si>
  <si>
    <t>Motorista SIVE</t>
  </si>
  <si>
    <t>Motorista PLNP</t>
  </si>
  <si>
    <t>Partipantes (CTCV-2 e CTV-2)</t>
  </si>
  <si>
    <t>Transporte (Bijagós)</t>
  </si>
  <si>
    <t>Participantes residentes regionais: Diretor e ponto focal do PAV (SAB)</t>
  </si>
  <si>
    <t xml:space="preserve">Transporte dos participantes </t>
  </si>
  <si>
    <t>Periodo:  Junho/2025</t>
  </si>
  <si>
    <t>Organizar um workshop para adaptar as ferramentas de gestão do programa relacionadas com a introdução de Malária na rotina do SIVE</t>
  </si>
  <si>
    <t xml:space="preserve">Colete </t>
  </si>
  <si>
    <t>Adaptação dos módulos Malária existentes</t>
  </si>
  <si>
    <t>Pausa café e almoço</t>
  </si>
  <si>
    <t>Adaptação dos módulos de treinamento Malária</t>
  </si>
  <si>
    <t>Parceiros (UNICEF-2, OMS- 1, SOLINA-2,)</t>
  </si>
  <si>
    <t>Membros CTV-2</t>
  </si>
  <si>
    <t>Parceiros (UNICEF-2, OMS- 1, CGSGAVI-1, 2AC-1, PLAN-1, PNUD-1,SOLINA-2,)</t>
  </si>
  <si>
    <t>Membros (NITAG-2,CTV-2,CCIA-1, ARFAME-1, FARMACOVIGILANCIA-1)</t>
  </si>
  <si>
    <t>Motoristas regionais não residentes (Biombo)</t>
  </si>
  <si>
    <t>Organização da formação de formadores (Nivel central ) sobre a introdução de vacina contra Malária</t>
  </si>
  <si>
    <t>Participantes da equipe (SIVE/ PLNP)</t>
  </si>
  <si>
    <t>Motorista residente: (SIVE/ PLNP)</t>
  </si>
  <si>
    <t xml:space="preserve">Pen drive para formadores e Formandos NC </t>
  </si>
  <si>
    <t xml:space="preserve">Pessoas </t>
  </si>
  <si>
    <t>Participantes regionais residentes: RAS e pontos focais SIVE (Bijagós)</t>
  </si>
  <si>
    <t>Participantes regionais não residentes: RAS e pontos focais SIVE (Bijagós)</t>
  </si>
  <si>
    <t>Participantes regionais residentes: RAS e pontos focais SIVE (Biombo)</t>
  </si>
  <si>
    <t>Participantes regionais não residentes: RAS e pontos focais SIVE (Biombo)</t>
  </si>
  <si>
    <t>Participantes regionais residentes: RAS e ponto focal SIVE (Bafata)</t>
  </si>
  <si>
    <t>Participantes regionais não residentes: RAS e ponto focal SIVE (Bafata)</t>
  </si>
  <si>
    <t>Participantes regionais não residentes: RAS e pontos focais SIVE (Bolama)</t>
  </si>
  <si>
    <t>Participantes regionais residentes: RAS e ponto focai SIVE (Bolama)</t>
  </si>
  <si>
    <t>Participantes regionais residentes: RAS e ponto focai SIVE (Quinará)</t>
  </si>
  <si>
    <t>Participantes regionais não residentes: RAS e pontos focais SIVE (Quinará)</t>
  </si>
  <si>
    <t>Participantes regionais residentes: RAS e ponto focai SIVE (Tombali)</t>
  </si>
  <si>
    <t>Participantes regionais não residentes: RAS e pontos focais SIVE (Tombali)</t>
  </si>
  <si>
    <t>Participantes(ERS-12+ Pessoal de apoio-1 Tombali)</t>
  </si>
  <si>
    <t>Participantes regionais residentes: RAS e ponto focai SIVE (SAB)</t>
  </si>
  <si>
    <t>Perdiem Facilitadores de nível central (SAB, Biombo)</t>
  </si>
  <si>
    <t>Perdiem Motoristas de nível central (Biombo)</t>
  </si>
  <si>
    <t>Perdiem Facilitadores de Nível Central (Bijagós)</t>
  </si>
  <si>
    <t>Perdiem Facilitadores de nível central (Bolama, Bafata, Quinara e Tombali)</t>
  </si>
  <si>
    <t>Perdiem Motoristas de nível central (Bolama, Bafata, Quinara e Tombali)</t>
  </si>
  <si>
    <t>Combustível facilitador NC</t>
  </si>
  <si>
    <t>Combustível gerador</t>
  </si>
  <si>
    <t>Ttransporte Bijagós</t>
  </si>
  <si>
    <t>Óleo de 2T</t>
  </si>
  <si>
    <t>Marinheiros</t>
  </si>
  <si>
    <t xml:space="preserve">Transporte dos participantes não residente </t>
  </si>
  <si>
    <t>Pessoas</t>
  </si>
  <si>
    <t>Equipe de apoio administrativo</t>
  </si>
  <si>
    <t>Motoristas regionais não residentes (Bolama,  Bafata, Quinara e Tombali)</t>
  </si>
  <si>
    <t>Participantes regionais não residentes: Diretores e pontos focais do PAV (Biombo)</t>
  </si>
  <si>
    <t>Participantes regionais não residentes: Diretores e pontos focais do PAV(Bolama, Bafata, Quinara e Tombali)</t>
  </si>
  <si>
    <t xml:space="preserve">Combustível para gerador </t>
  </si>
  <si>
    <t>Llitro</t>
  </si>
  <si>
    <t xml:space="preserve">Combustível </t>
  </si>
  <si>
    <t>Setembro de 2024</t>
  </si>
  <si>
    <t>RESUMO DO ORÇAMENTO INTRODUÇAO MALÁRIA 2024</t>
  </si>
  <si>
    <t>Participantes (ERS-12+ Pessoal de apoio-1 Bafata)</t>
  </si>
  <si>
    <t>Participantes (ERS-12+ Pessoal de apoio-1 Bijagós)</t>
  </si>
  <si>
    <t>Participantes (ERS-12+ Pessoal de apoio-1 Biombo)</t>
  </si>
  <si>
    <t>Participantes (ERS-12+ Pessoal de apoio-1 Bolama)</t>
  </si>
  <si>
    <t>Participantes (ERS-12+ Pessoal de apoio-1 Quinará)</t>
  </si>
  <si>
    <t>Participantes (ERS-12+ Pessoal de apoio-1 SAB)</t>
  </si>
  <si>
    <t>Combustível para transporte dos  participantes não residentes (Bijagós)</t>
  </si>
  <si>
    <r>
      <t>Titulo de Atividade: Introduç</t>
    </r>
    <r>
      <rPr>
        <sz val="10"/>
        <rFont val="Calibri"/>
        <family val="2"/>
      </rPr>
      <t>ã</t>
    </r>
    <r>
      <rPr>
        <sz val="10"/>
        <rFont val="Arial"/>
        <family val="2"/>
      </rPr>
      <t>o da vacina contra Malária</t>
    </r>
  </si>
  <si>
    <r>
      <t>RESUMO DO ORÇAMENTO INTRODUC</t>
    </r>
    <r>
      <rPr>
        <b/>
        <sz val="10"/>
        <rFont val="Calibri"/>
        <family val="2"/>
      </rPr>
      <t>Ā</t>
    </r>
    <r>
      <rPr>
        <b/>
        <sz val="10"/>
        <rFont val="Calibri"/>
        <family val="2"/>
        <scheme val="minor"/>
      </rPr>
      <t>O CONTRA MALÁRIA 2024</t>
    </r>
  </si>
  <si>
    <t xml:space="preserve">Adquirir cartões de vacinação </t>
  </si>
  <si>
    <t>Combustível para distribuição de vacinas (Bafatá)</t>
  </si>
  <si>
    <t>Logísticos NC (Bafata)</t>
  </si>
  <si>
    <t>Motoristas NC (Bafata)</t>
  </si>
  <si>
    <t>Logísticos NC (Biombo)</t>
  </si>
  <si>
    <t>Motoristas NC (Biombo)</t>
  </si>
  <si>
    <t>Combustível para distribuição de vacinas (Biombo)</t>
  </si>
  <si>
    <t>Logísticos NC (Bijagós)</t>
  </si>
  <si>
    <t xml:space="preserve">Portagem  pick-up Jugudol </t>
  </si>
  <si>
    <t xml:space="preserve">Portagem Camião Jugudol </t>
  </si>
  <si>
    <t>Combustível de Camião distribuição total de consumíveis de imunização</t>
  </si>
  <si>
    <t xml:space="preserve">Transportador (logístico) para a distribuição de consumíveis de vacinação nas 06 regiões </t>
  </si>
  <si>
    <t xml:space="preserve">Logístico para a distribuição de consumíveis de vacinação nas 06 regiões </t>
  </si>
  <si>
    <t xml:space="preserve">Plano de comunicação de treinamento para a introdução de vacina contra a Malária </t>
  </si>
  <si>
    <t xml:space="preserve">Acompanhamento após a introdução de vacina contra a Malária </t>
  </si>
  <si>
    <t xml:space="preserve">Avaliação após a introdução de vacina contra a Malária </t>
  </si>
  <si>
    <t>Reforçar a vigilância da Malária e outras doenças evitáveis ​​por vacinação, incluindo EAPV</t>
  </si>
  <si>
    <t xml:space="preserve">Adrenalina </t>
  </si>
  <si>
    <t>Ampola</t>
  </si>
  <si>
    <t xml:space="preserve">Bulbo </t>
  </si>
  <si>
    <t>Comprimido</t>
  </si>
  <si>
    <t>Seringas 2ml</t>
  </si>
  <si>
    <t>Seringas 5ml</t>
  </si>
  <si>
    <t>Plano de formacao para comunicação para a introdução do Malária</t>
  </si>
  <si>
    <t xml:space="preserve">Formação ASC nas 7 regiões sanitárias </t>
  </si>
  <si>
    <t>Pessoa</t>
  </si>
  <si>
    <t>Pausa Café e almoço</t>
  </si>
  <si>
    <t>Cartazes</t>
  </si>
  <si>
    <t>Custo de transporte nas sessões de advocacia e informação a nível central</t>
  </si>
  <si>
    <t>Custo de transporte nas sessões regionais de advocacia e informação</t>
  </si>
  <si>
    <t>Perdiem dos ASC na sensibilização</t>
  </si>
  <si>
    <t xml:space="preserve">Aluguer de equipamentos de som </t>
  </si>
  <si>
    <t>Litro</t>
  </si>
  <si>
    <t>Pessoal de apoio Administrativo</t>
  </si>
  <si>
    <t>Impressão de manual de formação</t>
  </si>
  <si>
    <t>Página</t>
  </si>
  <si>
    <t>Participantes (CTCV-2)</t>
  </si>
  <si>
    <t>PERDIEM e PAUSA- I</t>
  </si>
  <si>
    <t>Credito de comunicação para internet</t>
  </si>
  <si>
    <t>Seguimento após a introdução do Malária</t>
  </si>
  <si>
    <t>Perdiem Supervisores de nível central (Bafata)</t>
  </si>
  <si>
    <t>Perdiem Supervisores de nível central (Bolama)</t>
  </si>
  <si>
    <t>Perdiem Supervisores de nível central (Biombo)</t>
  </si>
  <si>
    <t>Perdiem Supervisores de nível central (Bijagós)</t>
  </si>
  <si>
    <t>Perdiem Supervisores de nível central (Quinara)</t>
  </si>
  <si>
    <t>Perdiem Supervisores de nível central (SAB)</t>
  </si>
  <si>
    <t>Perdiem motorista de nível central (Bafata)</t>
  </si>
  <si>
    <t>Perdiem motorista de nível central (Bolama)</t>
  </si>
  <si>
    <t>Perdiem motorista de nível central (Biombo)</t>
  </si>
  <si>
    <t>Perdiem motorista de nível central (Quinara)</t>
  </si>
  <si>
    <t>Perdiem motorista de nível central (SAB)</t>
  </si>
  <si>
    <t>Perdiem motorista de nível central (Tombali)</t>
  </si>
  <si>
    <t>Perdiem Supervisores de nível regional (Bafata)</t>
  </si>
  <si>
    <t>Perdiem Supervisores de nível regional (Bijagós)</t>
  </si>
  <si>
    <t>Perdiem marinheiro nível regional (Bijagós)</t>
  </si>
  <si>
    <t>Perdiem Supervisores de nível regional (Bolama)</t>
  </si>
  <si>
    <t>Perdiem Supervisores de nível regional (Biombo)</t>
  </si>
  <si>
    <t>Perdiem Supervisores de nível regional (Quinara)</t>
  </si>
  <si>
    <t>Perdiem Supervisores de nível regional (SAB)</t>
  </si>
  <si>
    <t>Perdiem Supervisores de nível regional (Tombali)</t>
  </si>
  <si>
    <t>Perdiem-I</t>
  </si>
  <si>
    <t>Combustível para supervisores Nível Nacional</t>
  </si>
  <si>
    <t>COMBUSTÍVEL E OUTROS-II</t>
  </si>
  <si>
    <t>Reprodução de guião de supervisão</t>
  </si>
  <si>
    <t>Crédito de comunicação para internet</t>
  </si>
  <si>
    <t>Adquirir cartão de vacinação infantil</t>
  </si>
  <si>
    <t>Parceiros GAVI, CGSGAVI, UNICEF, OMS, PLAN, PNUD e SOLINA</t>
  </si>
  <si>
    <t>Organização da formação de técnicos (DRS/ERS/AS) para a introdução do Malária</t>
  </si>
  <si>
    <t>Desenvolvimento de um plano de comunicação para a introdução do Malária</t>
  </si>
  <si>
    <t>Preparacão da atividade</t>
  </si>
  <si>
    <t>Organização da formação de formadores de nivel central sobre a introdução do Malária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</si>
</sst>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 _€_-;\-* #,##0.00\ _€_-;_-* &quot;-&quot;??\ _€_-;_-@_-"/>
    <numFmt numFmtId="165" formatCode="_-* #,##0\ _C_F_A_-;\-* #,##0\ _C_F_A_-;_-* &quot;-&quot;\ _C_F_A_-;_-@_-"/>
    <numFmt numFmtId="166" formatCode="_(* #,##0.00_);_(* \(#,##0.00\);_(* &quot;-&quot;??_);_(@_)"/>
    <numFmt numFmtId="167" formatCode="_-* #,##0\ _€_-;\-* #,##0\ _€_-;_-* &quot;-&quot;??\ _€_-;_-@_-"/>
    <numFmt numFmtId="168" formatCode="_-* #,##0_-;\-* #,##0_-;_-* &quot;-&quot;??_-;_-@_-"/>
    <numFmt numFmtId="169" formatCode="&quot;$&quot;#,##0"/>
    <numFmt numFmtId="170" formatCode="0.0"/>
    <numFmt numFmtId="171" formatCode="&quot;$&quot;#,##0.00"/>
    <numFmt numFmtId="172" formatCode="_([$XOF]\ * #,##0.00_);_([$XOF]\ * \(#,##0.00\);_([$XOF]\ * &quot;-&quot;??_);_(@_)"/>
    <numFmt numFmtId="173" formatCode="_-* #,##0\ [$XOF]_-;\-* #,##0\ [$XOF]_-;_-* &quot;-&quot;\ [$XOF]_-;_-@_-"/>
    <numFmt numFmtId="174" formatCode="_-[$XOF]\ * #,##0_-;\-[$XOF]\ * #,##0_-;_-[$XOF]\ * &quot;-&quot;_-;_-@_-"/>
    <numFmt numFmtId="175" formatCode="_([$XOF]\ * #,##0_);_([$XOF]\ * \(#,##0\);_([$XOF]\ * &quot;-&quot;??_);_(@_)"/>
    <numFmt numFmtId="176" formatCode="_-[$USD]\ * #,##0_-;\-[$USD]\ * #,##0_-;_-[$USD]\ * &quot;-&quot;_-;_-@_-"/>
    <numFmt numFmtId="177" formatCode="_(* #,##0_);_(* \(#,##0\);_(* &quot;-&quot;??_);_(@_)"/>
    <numFmt numFmtId="178" formatCode="_-* #,##0\ [$XOF]_-;\-* #,##0\ [$XOF]_-;_-* &quot;-&quot;??\ [$XOF]_-;_-@_-"/>
    <numFmt numFmtId="179" formatCode="#,##0\ [$USD]"/>
  </numFmts>
  <fonts count="70">
    <font>
      <sz val="12"/>
      <color theme="1"/>
      <name val="Times New Roman"/>
      <family val="2"/>
    </font>
    <font>
      <sz val="11"/>
      <color theme="1"/>
      <name val="Calibri"/>
      <family val="2"/>
      <scheme val="minor"/>
    </font>
    <font>
      <sz val="12"/>
      <color theme="1"/>
      <name val="Times New Roman"/>
      <family val="2"/>
    </font>
    <font>
      <sz val="10"/>
      <name val="Arial Narrow"/>
      <family val="2"/>
    </font>
    <font>
      <sz val="12"/>
      <name val="Osaka"/>
      <family val="3"/>
      <charset val="128"/>
    </font>
    <font>
      <b/>
      <sz val="12"/>
      <color rgb="FF000000"/>
      <name val="Arial Narrow"/>
      <family val="2"/>
      <charset val="238"/>
    </font>
    <font>
      <b/>
      <sz val="12"/>
      <name val="Arial Narrow"/>
      <family val="2"/>
    </font>
    <font>
      <sz val="12"/>
      <name val="Arial Narrow"/>
      <family val="2"/>
    </font>
    <font>
      <b/>
      <u/>
      <sz val="12"/>
      <color rgb="FF000000"/>
      <name val="Arial Narrow"/>
      <family val="2"/>
      <charset val="238"/>
    </font>
    <font>
      <sz val="10"/>
      <color rgb="FF000000"/>
      <name val="Arial Narrow"/>
      <family val="2"/>
      <charset val="238"/>
    </font>
    <font>
      <u/>
      <sz val="10"/>
      <color rgb="FF000000"/>
      <name val="Arial Narrow"/>
      <family val="2"/>
      <charset val="238"/>
    </font>
    <font>
      <b/>
      <sz val="10"/>
      <name val="Arial Narrow"/>
      <family val="2"/>
    </font>
    <font>
      <b/>
      <u/>
      <sz val="10"/>
      <color rgb="FF000000"/>
      <name val="Arial Narrow"/>
      <family val="2"/>
      <charset val="238"/>
    </font>
    <font>
      <u/>
      <sz val="10"/>
      <name val="Arial Narrow"/>
      <family val="2"/>
    </font>
    <font>
      <b/>
      <u/>
      <sz val="10"/>
      <name val="Arial Narrow"/>
      <family val="2"/>
    </font>
    <font>
      <b/>
      <sz val="14"/>
      <color rgb="FF000000"/>
      <name val="Arial Narrow"/>
      <family val="2"/>
      <charset val="238"/>
    </font>
    <font>
      <b/>
      <sz val="14"/>
      <name val="Arial Narrow"/>
      <family val="2"/>
    </font>
    <font>
      <sz val="9"/>
      <color rgb="FF000000"/>
      <name val="Arial Narrow"/>
      <family val="2"/>
      <charset val="238"/>
    </font>
    <font>
      <u/>
      <sz val="8"/>
      <color rgb="FF000000"/>
      <name val="Arial Narrow"/>
      <family val="2"/>
      <charset val="238"/>
    </font>
    <font>
      <sz val="9"/>
      <name val="Arial Narrow"/>
      <family val="2"/>
    </font>
    <font>
      <u/>
      <sz val="9"/>
      <name val="Arial Narrow"/>
      <family val="2"/>
    </font>
    <font>
      <b/>
      <sz val="9"/>
      <color rgb="FF000000"/>
      <name val="Arial Narrow"/>
      <family val="2"/>
      <charset val="238"/>
    </font>
    <font>
      <b/>
      <sz val="9"/>
      <name val="Arial Narrow"/>
      <family val="2"/>
    </font>
    <font>
      <sz val="12"/>
      <name val="ＭＳ Ｐゴシック"/>
      <family val="3"/>
      <charset val="128"/>
    </font>
    <font>
      <b/>
      <sz val="10"/>
      <color rgb="FF000000"/>
      <name val="Arial Narrow"/>
      <family val="2"/>
      <charset val="238"/>
    </font>
    <font>
      <sz val="20"/>
      <color rgb="FF000000"/>
      <name val="Arial Narrow"/>
      <family val="2"/>
      <charset val="238"/>
    </font>
    <font>
      <b/>
      <sz val="8"/>
      <color rgb="FF000000"/>
      <name val="Arial Narrow"/>
      <family val="2"/>
      <charset val="238"/>
    </font>
    <font>
      <sz val="8"/>
      <color rgb="FF000000"/>
      <name val="Arial Narrow"/>
      <family val="2"/>
      <charset val="238"/>
    </font>
    <font>
      <sz val="8"/>
      <name val="Arial Narrow"/>
      <family val="2"/>
    </font>
    <font>
      <b/>
      <sz val="13"/>
      <color rgb="FF000000"/>
      <name val="Arial Narrow"/>
      <family val="2"/>
      <charset val="238"/>
    </font>
    <font>
      <b/>
      <sz val="13"/>
      <name val="Arial Narrow"/>
      <family val="2"/>
      <charset val="238"/>
    </font>
    <font>
      <sz val="10"/>
      <color rgb="FF000000"/>
      <name val="Arial"/>
      <family val="2"/>
    </font>
    <font>
      <sz val="10"/>
      <color rgb="FF000000"/>
      <name val="Arial Narrow"/>
      <family val="2"/>
    </font>
    <font>
      <sz val="10"/>
      <color indexed="8"/>
      <name val="Arial Narrow"/>
      <family val="2"/>
    </font>
    <font>
      <sz val="10"/>
      <name val="Arial"/>
      <family val="2"/>
    </font>
    <font>
      <b/>
      <sz val="11"/>
      <color theme="1"/>
      <name val="Calibri"/>
      <family val="2"/>
      <scheme val="minor"/>
    </font>
    <font>
      <b/>
      <sz val="11"/>
      <name val="Calibri"/>
      <family val="2"/>
      <scheme val="minor"/>
    </font>
    <font>
      <sz val="11"/>
      <name val="Calibri"/>
      <family val="2"/>
      <scheme val="minor"/>
    </font>
    <font>
      <sz val="12"/>
      <name val="Times New Roman"/>
      <family val="2"/>
    </font>
    <font>
      <b/>
      <sz val="14"/>
      <name val="Calibri"/>
      <family val="2"/>
      <scheme val="minor"/>
    </font>
    <font>
      <sz val="12"/>
      <name val="Calibri"/>
      <family val="2"/>
      <scheme val="minor"/>
    </font>
    <font>
      <b/>
      <sz val="10"/>
      <name val="Arial"/>
      <family val="2"/>
    </font>
    <font>
      <sz val="12"/>
      <name val="Arial"/>
      <family val="2"/>
    </font>
    <font>
      <b/>
      <sz val="8"/>
      <name val="Arial"/>
      <family val="2"/>
    </font>
    <font>
      <sz val="12"/>
      <name val="Baskerville Old Face"/>
      <family val="1"/>
    </font>
    <font>
      <sz val="10"/>
      <name val="Calibri"/>
      <family val="2"/>
    </font>
    <font>
      <sz val="9"/>
      <name val="Arial"/>
      <family val="2"/>
    </font>
    <font>
      <b/>
      <sz val="14"/>
      <name val="Arial"/>
      <family val="2"/>
    </font>
    <font>
      <sz val="10"/>
      <name val="Times New Roman"/>
      <family val="1"/>
    </font>
    <font>
      <b/>
      <sz val="12"/>
      <name val="Times New Roman"/>
      <family val="1"/>
    </font>
    <font>
      <b/>
      <sz val="10"/>
      <name val="Calibri"/>
      <family val="2"/>
      <scheme val="minor"/>
    </font>
    <font>
      <b/>
      <sz val="10"/>
      <name val="Calibri"/>
      <family val="2"/>
    </font>
    <font>
      <b/>
      <sz val="12"/>
      <name val="Calibri"/>
      <family val="2"/>
      <scheme val="minor"/>
    </font>
    <font>
      <sz val="21"/>
      <color rgb="FF202124"/>
      <name val="Inherit"/>
    </font>
    <font>
      <sz val="10"/>
      <color rgb="FF202124"/>
      <name val="Inherit"/>
    </font>
    <font>
      <sz val="11"/>
      <color rgb="FF202124"/>
      <name val="Inherit"/>
    </font>
    <font>
      <sz val="12"/>
      <color rgb="FF202124"/>
      <name val="Inherit"/>
    </font>
    <font>
      <sz val="9"/>
      <color rgb="FF202124"/>
      <name val="Inherit"/>
    </font>
    <font>
      <b/>
      <sz val="10"/>
      <color rgb="FF202124"/>
      <name val="Inherit"/>
    </font>
    <font>
      <b/>
      <sz val="12"/>
      <name val="Arial"/>
      <family val="2"/>
    </font>
    <font>
      <b/>
      <i/>
      <sz val="10"/>
      <color rgb="FF202124"/>
      <name val="Inherit"/>
    </font>
    <font>
      <sz val="10"/>
      <name val="Baskerville Old Face"/>
      <family val="1"/>
    </font>
    <font>
      <sz val="10"/>
      <color theme="1"/>
      <name val="Times New Roman"/>
      <family val="2"/>
    </font>
    <font>
      <b/>
      <sz val="9"/>
      <name val="Arial"/>
      <family val="2"/>
    </font>
    <font>
      <b/>
      <sz val="12"/>
      <color theme="1"/>
      <name val="Times New Roman"/>
      <family val="1"/>
    </font>
    <font>
      <sz val="16"/>
      <color theme="1"/>
      <name val="Times New Roman"/>
      <family val="2"/>
    </font>
    <font>
      <b/>
      <sz val="14"/>
      <color theme="1"/>
      <name val="Times New Roman"/>
      <family val="1"/>
    </font>
    <font>
      <sz val="14"/>
      <color theme="1"/>
      <name val="Times New Roman"/>
      <family val="1"/>
    </font>
    <font>
      <b/>
      <sz val="16"/>
      <color theme="1"/>
      <name val="Times New Roman"/>
      <family val="1"/>
    </font>
    <font>
      <b/>
      <sz val="10"/>
      <color theme="1"/>
      <name val="Arial"/>
      <family val="2"/>
    </font>
  </fonts>
  <fills count="20">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8F9FA"/>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99FF99"/>
        <bgColor indexed="64"/>
      </patternFill>
    </fill>
    <fill>
      <patternFill patternType="solid">
        <fgColor rgb="FFCCCC00"/>
        <bgColor indexed="64"/>
      </patternFill>
    </fill>
    <fill>
      <patternFill patternType="solid">
        <fgColor rgb="FF00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
      <left/>
      <right/>
      <top/>
      <bottom style="medium">
        <color theme="4" tint="0.399914548173467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s>
  <cellStyleXfs count="7">
    <xf numFmtId="0" fontId="0" fillId="0" borderId="0"/>
    <xf numFmtId="166" fontId="2" fillId="0" borderId="0" applyFont="0" applyFill="0" applyBorder="0" applyAlignment="0" applyProtection="0"/>
    <xf numFmtId="0" fontId="4" fillId="0" borderId="0"/>
    <xf numFmtId="40" fontId="23" fillId="0" borderId="0" applyFont="0" applyFill="0" applyBorder="0" applyAlignment="0" applyProtection="0"/>
    <xf numFmtId="0" fontId="34" fillId="0" borderId="0"/>
    <xf numFmtId="166" fontId="34" fillId="0" borderId="0" applyFont="0" applyFill="0" applyBorder="0" applyAlignment="0" applyProtection="0"/>
    <xf numFmtId="165" fontId="2" fillId="0" borderId="0" applyFont="0" applyFill="0" applyBorder="0" applyAlignment="0" applyProtection="0"/>
  </cellStyleXfs>
  <cellXfs count="574">
    <xf numFmtId="0" fontId="0" fillId="0" borderId="0" xfId="0"/>
    <xf numFmtId="0" fontId="3" fillId="0" borderId="1" xfId="0" applyFont="1" applyBorder="1"/>
    <xf numFmtId="0" fontId="3" fillId="0" borderId="2" xfId="0" applyFont="1" applyBorder="1"/>
    <xf numFmtId="3" fontId="3" fillId="0" borderId="2" xfId="0" applyNumberFormat="1" applyFont="1" applyBorder="1" applyAlignment="1">
      <alignment horizontal="center"/>
    </xf>
    <xf numFmtId="0" fontId="3" fillId="0" borderId="3" xfId="0" applyFont="1" applyBorder="1"/>
    <xf numFmtId="0" fontId="5" fillId="0" borderId="4" xfId="2" applyFont="1" applyBorder="1"/>
    <xf numFmtId="0" fontId="6" fillId="0" borderId="0" xfId="2" applyFont="1" applyAlignment="1">
      <alignment horizontal="centerContinuous"/>
    </xf>
    <xf numFmtId="0" fontId="6" fillId="0" borderId="0" xfId="2" applyFont="1"/>
    <xf numFmtId="0" fontId="7" fillId="0" borderId="0" xfId="0" applyFont="1"/>
    <xf numFmtId="0" fontId="5" fillId="0" borderId="0" xfId="2" applyFont="1" applyAlignment="1">
      <alignment horizontal="right"/>
    </xf>
    <xf numFmtId="15" fontId="8" fillId="0" borderId="0" xfId="0" applyNumberFormat="1" applyFont="1" applyAlignment="1">
      <alignment horizontal="left"/>
    </xf>
    <xf numFmtId="0" fontId="6" fillId="0" borderId="5" xfId="0" applyFont="1" applyBorder="1"/>
    <xf numFmtId="0" fontId="3" fillId="0" borderId="4" xfId="2" applyFont="1" applyBorder="1"/>
    <xf numFmtId="0" fontId="3" fillId="0" borderId="0" xfId="2" applyFont="1"/>
    <xf numFmtId="0" fontId="3" fillId="0" borderId="0" xfId="0" applyFont="1"/>
    <xf numFmtId="3" fontId="3" fillId="0" borderId="0" xfId="2" applyNumberFormat="1" applyFont="1" applyAlignment="1">
      <alignment horizontal="center"/>
    </xf>
    <xf numFmtId="0" fontId="3" fillId="0" borderId="5" xfId="2" applyFont="1" applyBorder="1"/>
    <xf numFmtId="0" fontId="9" fillId="0" borderId="4" xfId="2" applyFont="1" applyBorder="1"/>
    <xf numFmtId="0" fontId="11" fillId="0" borderId="0" xfId="0" applyFont="1"/>
    <xf numFmtId="0" fontId="12" fillId="0" borderId="0" xfId="2" applyFont="1" applyAlignment="1">
      <alignment horizontal="left"/>
    </xf>
    <xf numFmtId="0" fontId="13" fillId="0" borderId="0" xfId="2" applyFont="1" applyAlignment="1">
      <alignment horizontal="left"/>
    </xf>
    <xf numFmtId="3" fontId="13" fillId="0" borderId="0" xfId="2" applyNumberFormat="1" applyFont="1" applyAlignment="1">
      <alignment horizontal="left"/>
    </xf>
    <xf numFmtId="0" fontId="9" fillId="0" borderId="4" xfId="2" applyFont="1" applyBorder="1" applyAlignment="1">
      <alignment horizontal="left"/>
    </xf>
    <xf numFmtId="0" fontId="3" fillId="0" borderId="0" xfId="2" applyFont="1" applyAlignment="1">
      <alignment horizontal="left"/>
    </xf>
    <xf numFmtId="0" fontId="13" fillId="0" borderId="0" xfId="2" applyFont="1"/>
    <xf numFmtId="0" fontId="14" fillId="0" borderId="0" xfId="2" applyFont="1" applyAlignment="1">
      <alignment horizontal="centerContinuous"/>
    </xf>
    <xf numFmtId="0" fontId="11" fillId="0" borderId="0" xfId="2" applyFont="1" applyAlignment="1">
      <alignment horizontal="centerContinuous"/>
    </xf>
    <xf numFmtId="0" fontId="3" fillId="0" borderId="4" xfId="2" applyFont="1" applyBorder="1" applyAlignment="1">
      <alignment horizontal="left"/>
    </xf>
    <xf numFmtId="0" fontId="3" fillId="0" borderId="4" xfId="2" applyFont="1" applyBorder="1" applyAlignment="1">
      <alignment horizontal="left" vertical="center"/>
    </xf>
    <xf numFmtId="0" fontId="3" fillId="0" borderId="0" xfId="2" applyFont="1" applyAlignment="1">
      <alignment horizontal="left" vertical="center"/>
    </xf>
    <xf numFmtId="0" fontId="3" fillId="0" borderId="0" xfId="2" applyFont="1" applyAlignment="1">
      <alignment vertical="center"/>
    </xf>
    <xf numFmtId="0" fontId="3" fillId="0" borderId="9" xfId="2" applyFont="1" applyBorder="1" applyAlignment="1">
      <alignment vertical="center"/>
    </xf>
    <xf numFmtId="0" fontId="9" fillId="0" borderId="11" xfId="2" applyFont="1" applyBorder="1" applyAlignment="1">
      <alignment horizontal="center" vertical="center" wrapText="1"/>
    </xf>
    <xf numFmtId="3" fontId="9" fillId="2" borderId="13" xfId="2" applyNumberFormat="1" applyFont="1" applyFill="1" applyBorder="1" applyAlignment="1">
      <alignment horizontal="center" vertical="center" wrapText="1"/>
    </xf>
    <xf numFmtId="0" fontId="17" fillId="0" borderId="11" xfId="2" applyFont="1" applyBorder="1" applyAlignment="1">
      <alignment horizontal="center" vertical="center" wrapText="1"/>
    </xf>
    <xf numFmtId="0" fontId="9" fillId="2" borderId="2" xfId="2" applyFont="1" applyFill="1" applyBorder="1" applyAlignment="1">
      <alignment horizontal="center" vertical="center" wrapText="1"/>
    </xf>
    <xf numFmtId="0" fontId="18" fillId="0" borderId="15" xfId="2" applyFont="1" applyBorder="1" applyAlignment="1">
      <alignment horizontal="center" vertical="center" wrapText="1"/>
    </xf>
    <xf numFmtId="0" fontId="19" fillId="2" borderId="17" xfId="2" applyFont="1" applyFill="1" applyBorder="1" applyAlignment="1">
      <alignment horizontal="center" vertical="center" wrapText="1"/>
    </xf>
    <xf numFmtId="0" fontId="19" fillId="0" borderId="0" xfId="2" applyFont="1" applyAlignment="1">
      <alignment horizontal="center" vertical="center"/>
    </xf>
    <xf numFmtId="0" fontId="20" fillId="2" borderId="0" xfId="2" applyFont="1" applyFill="1" applyAlignment="1">
      <alignment horizontal="center" vertical="center" wrapText="1"/>
    </xf>
    <xf numFmtId="3" fontId="19" fillId="2" borderId="17" xfId="2" applyNumberFormat="1" applyFont="1" applyFill="1" applyBorder="1" applyAlignment="1">
      <alignment horizontal="center" vertical="center" wrapText="1"/>
    </xf>
    <xf numFmtId="0" fontId="11" fillId="0" borderId="0" xfId="2" applyFont="1" applyAlignment="1">
      <alignment vertical="center"/>
    </xf>
    <xf numFmtId="0" fontId="21" fillId="0" borderId="15" xfId="2" applyFont="1" applyBorder="1" applyAlignment="1">
      <alignment horizontal="center" vertical="center"/>
    </xf>
    <xf numFmtId="0" fontId="21" fillId="0" borderId="16" xfId="2" applyFont="1" applyBorder="1" applyAlignment="1">
      <alignment horizontal="center" vertical="center" wrapText="1"/>
    </xf>
    <xf numFmtId="0" fontId="21" fillId="2" borderId="16" xfId="2" applyFont="1" applyFill="1" applyBorder="1" applyAlignment="1">
      <alignment horizontal="center" vertical="center"/>
    </xf>
    <xf numFmtId="0" fontId="21" fillId="2" borderId="17" xfId="2" applyFont="1" applyFill="1" applyBorder="1" applyAlignment="1">
      <alignment horizontal="center" vertical="center" wrapText="1"/>
    </xf>
    <xf numFmtId="0" fontId="22" fillId="0" borderId="0" xfId="2" applyFont="1" applyAlignment="1">
      <alignment vertical="center"/>
    </xf>
    <xf numFmtId="3" fontId="21" fillId="0" borderId="22" xfId="2" applyNumberFormat="1" applyFont="1" applyBorder="1" applyAlignment="1">
      <alignment horizontal="center" vertical="center"/>
    </xf>
    <xf numFmtId="3" fontId="21" fillId="2" borderId="19" xfId="2" applyNumberFormat="1" applyFont="1" applyFill="1" applyBorder="1" applyAlignment="1">
      <alignment horizontal="center" vertical="center"/>
    </xf>
    <xf numFmtId="3" fontId="21" fillId="2" borderId="23" xfId="2" applyNumberFormat="1" applyFont="1" applyFill="1" applyBorder="1" applyAlignment="1">
      <alignment horizontal="center" vertical="center"/>
    </xf>
    <xf numFmtId="0" fontId="11" fillId="0" borderId="5" xfId="2" applyFont="1" applyBorder="1" applyAlignment="1">
      <alignment vertical="center"/>
    </xf>
    <xf numFmtId="0" fontId="3" fillId="0" borderId="0" xfId="2" applyFont="1" applyAlignment="1">
      <alignment horizontal="right" vertical="center"/>
    </xf>
    <xf numFmtId="49" fontId="3" fillId="0" borderId="25" xfId="2" applyNumberFormat="1" applyFont="1" applyBorder="1" applyAlignment="1">
      <alignment horizontal="center" vertical="center" wrapText="1"/>
    </xf>
    <xf numFmtId="37" fontId="3" fillId="0" borderId="26" xfId="1" applyNumberFormat="1" applyFont="1" applyFill="1" applyBorder="1" applyAlignment="1">
      <alignment horizontal="right" vertical="center"/>
    </xf>
    <xf numFmtId="37" fontId="3" fillId="0" borderId="27" xfId="1" applyNumberFormat="1" applyFont="1" applyBorder="1" applyAlignment="1">
      <alignment horizontal="right" vertical="center"/>
    </xf>
    <xf numFmtId="37" fontId="3" fillId="2" borderId="27" xfId="1" applyNumberFormat="1" applyFont="1" applyFill="1" applyBorder="1" applyAlignment="1">
      <alignment horizontal="right" vertical="center"/>
    </xf>
    <xf numFmtId="37" fontId="3" fillId="2" borderId="28" xfId="1" applyNumberFormat="1" applyFont="1" applyFill="1" applyBorder="1" applyAlignment="1">
      <alignment horizontal="right" vertical="center"/>
    </xf>
    <xf numFmtId="37" fontId="3" fillId="0" borderId="29" xfId="2" applyNumberFormat="1" applyFont="1" applyBorder="1" applyAlignment="1">
      <alignment horizontal="right" vertical="center" wrapText="1"/>
    </xf>
    <xf numFmtId="37" fontId="3" fillId="2" borderId="31" xfId="2" applyNumberFormat="1" applyFont="1" applyFill="1" applyBorder="1" applyAlignment="1">
      <alignment horizontal="right" vertical="center"/>
    </xf>
    <xf numFmtId="0" fontId="3" fillId="0" borderId="5" xfId="2" applyFont="1" applyBorder="1" applyAlignment="1">
      <alignment horizontal="right" vertical="center"/>
    </xf>
    <xf numFmtId="37" fontId="3" fillId="0" borderId="35" xfId="1" applyNumberFormat="1" applyFont="1" applyFill="1" applyBorder="1" applyAlignment="1">
      <alignment horizontal="right" vertical="center"/>
    </xf>
    <xf numFmtId="37" fontId="3" fillId="0" borderId="36" xfId="1" applyNumberFormat="1" applyFont="1" applyBorder="1" applyAlignment="1">
      <alignment horizontal="right" vertical="center"/>
    </xf>
    <xf numFmtId="37" fontId="3" fillId="2" borderId="36" xfId="1" applyNumberFormat="1" applyFont="1" applyFill="1" applyBorder="1" applyAlignment="1">
      <alignment horizontal="right" vertical="center"/>
    </xf>
    <xf numFmtId="37" fontId="3" fillId="2" borderId="37" xfId="1" applyNumberFormat="1" applyFont="1" applyFill="1" applyBorder="1" applyAlignment="1">
      <alignment horizontal="right" vertical="center"/>
    </xf>
    <xf numFmtId="49" fontId="3" fillId="0" borderId="38" xfId="3" applyNumberFormat="1" applyFont="1" applyFill="1" applyBorder="1" applyAlignment="1">
      <alignment horizontal="center" vertical="center"/>
    </xf>
    <xf numFmtId="38" fontId="3" fillId="0" borderId="0" xfId="3" applyNumberFormat="1" applyFont="1" applyFill="1" applyBorder="1" applyAlignment="1">
      <alignment horizontal="right" vertical="center"/>
    </xf>
    <xf numFmtId="37" fontId="3" fillId="2" borderId="37" xfId="2" applyNumberFormat="1" applyFont="1" applyFill="1" applyBorder="1" applyAlignment="1">
      <alignment horizontal="right" vertical="center"/>
    </xf>
    <xf numFmtId="37" fontId="3" fillId="0" borderId="35" xfId="3" applyNumberFormat="1" applyFont="1" applyFill="1" applyBorder="1" applyAlignment="1">
      <alignment horizontal="right" vertical="center"/>
    </xf>
    <xf numFmtId="0" fontId="11" fillId="0" borderId="0" xfId="2" applyFont="1" applyAlignment="1">
      <alignment horizontal="right" vertical="center"/>
    </xf>
    <xf numFmtId="49" fontId="3" fillId="0" borderId="39" xfId="3" applyNumberFormat="1" applyFont="1" applyFill="1" applyBorder="1" applyAlignment="1">
      <alignment horizontal="center" vertical="center"/>
    </xf>
    <xf numFmtId="37" fontId="3" fillId="0" borderId="40" xfId="1" applyNumberFormat="1" applyFont="1" applyFill="1" applyBorder="1" applyAlignment="1">
      <alignment horizontal="right" vertical="center"/>
    </xf>
    <xf numFmtId="37" fontId="3" fillId="0" borderId="41" xfId="1" applyNumberFormat="1" applyFont="1" applyBorder="1" applyAlignment="1">
      <alignment horizontal="right" vertical="center"/>
    </xf>
    <xf numFmtId="37" fontId="3" fillId="2" borderId="41" xfId="1" applyNumberFormat="1" applyFont="1" applyFill="1" applyBorder="1" applyAlignment="1">
      <alignment horizontal="right" vertical="center"/>
    </xf>
    <xf numFmtId="37" fontId="3" fillId="2" borderId="42" xfId="1" applyNumberFormat="1" applyFont="1" applyFill="1" applyBorder="1" applyAlignment="1">
      <alignment horizontal="right" vertical="center"/>
    </xf>
    <xf numFmtId="38" fontId="3" fillId="0" borderId="0" xfId="3" applyNumberFormat="1" applyFont="1" applyBorder="1" applyAlignment="1">
      <alignment horizontal="right" vertical="center"/>
    </xf>
    <xf numFmtId="37" fontId="3" fillId="0" borderId="40" xfId="3" applyNumberFormat="1" applyFont="1" applyFill="1" applyBorder="1" applyAlignment="1">
      <alignment horizontal="right" vertical="center"/>
    </xf>
    <xf numFmtId="37" fontId="3" fillId="2" borderId="42" xfId="2" applyNumberFormat="1" applyFont="1" applyFill="1" applyBorder="1" applyAlignment="1">
      <alignment horizontal="right" vertical="center"/>
    </xf>
    <xf numFmtId="49" fontId="11" fillId="0" borderId="46" xfId="3" applyNumberFormat="1" applyFont="1" applyFill="1" applyBorder="1" applyAlignment="1">
      <alignment horizontal="center" vertical="center"/>
    </xf>
    <xf numFmtId="37" fontId="11" fillId="0" borderId="22" xfId="1" applyNumberFormat="1" applyFont="1" applyFill="1" applyBorder="1" applyAlignment="1">
      <alignment horizontal="right" vertical="center"/>
    </xf>
    <xf numFmtId="37" fontId="11" fillId="0" borderId="47" xfId="1" applyNumberFormat="1" applyFont="1" applyBorder="1" applyAlignment="1">
      <alignment horizontal="right" vertical="center"/>
    </xf>
    <xf numFmtId="37" fontId="11" fillId="2" borderId="47" xfId="1" applyNumberFormat="1" applyFont="1" applyFill="1" applyBorder="1" applyAlignment="1">
      <alignment horizontal="right" vertical="center"/>
    </xf>
    <xf numFmtId="37" fontId="11" fillId="2" borderId="23" xfId="1" applyNumberFormat="1" applyFont="1" applyFill="1" applyBorder="1" applyAlignment="1">
      <alignment horizontal="right" vertical="center"/>
    </xf>
    <xf numFmtId="38" fontId="11" fillId="0" borderId="0" xfId="3" applyNumberFormat="1" applyFont="1" applyBorder="1" applyAlignment="1">
      <alignment horizontal="right" vertical="center"/>
    </xf>
    <xf numFmtId="37" fontId="11" fillId="0" borderId="48" xfId="3" applyNumberFormat="1" applyFont="1" applyFill="1" applyBorder="1" applyAlignment="1">
      <alignment horizontal="right" vertical="center"/>
    </xf>
    <xf numFmtId="37" fontId="11" fillId="2" borderId="49" xfId="2" applyNumberFormat="1" applyFont="1" applyFill="1" applyBorder="1" applyAlignment="1">
      <alignment horizontal="right" vertical="center"/>
    </xf>
    <xf numFmtId="0" fontId="11" fillId="0" borderId="5" xfId="2" applyFont="1" applyBorder="1" applyAlignment="1">
      <alignment horizontal="right" vertical="center"/>
    </xf>
    <xf numFmtId="0" fontId="3" fillId="0" borderId="4" xfId="2" applyFont="1" applyBorder="1" applyAlignment="1">
      <alignment horizontal="right" vertical="center"/>
    </xf>
    <xf numFmtId="3" fontId="3" fillId="0" borderId="0" xfId="2" applyNumberFormat="1" applyFont="1" applyAlignment="1">
      <alignment horizontal="right" vertical="center"/>
    </xf>
    <xf numFmtId="0" fontId="12" fillId="0" borderId="4" xfId="2" applyFont="1" applyBorder="1"/>
    <xf numFmtId="37" fontId="3" fillId="0" borderId="0" xfId="2" applyNumberFormat="1" applyFont="1"/>
    <xf numFmtId="0" fontId="25" fillId="0" borderId="4" xfId="2" applyFont="1" applyBorder="1" applyAlignment="1">
      <alignment horizontal="right" vertical="top"/>
    </xf>
    <xf numFmtId="0" fontId="3" fillId="0" borderId="30" xfId="2" applyFont="1" applyBorder="1"/>
    <xf numFmtId="15" fontId="9" fillId="0" borderId="0" xfId="2" applyNumberFormat="1" applyFont="1" applyAlignment="1">
      <alignment horizontal="right"/>
    </xf>
    <xf numFmtId="0" fontId="3" fillId="0" borderId="5" xfId="0" applyFont="1" applyBorder="1"/>
    <xf numFmtId="15" fontId="3" fillId="0" borderId="0" xfId="2" applyNumberFormat="1" applyFont="1" applyAlignment="1">
      <alignment horizontal="center"/>
    </xf>
    <xf numFmtId="3" fontId="3" fillId="0" borderId="0" xfId="0" applyNumberFormat="1" applyFont="1" applyAlignment="1">
      <alignment horizontal="center"/>
    </xf>
    <xf numFmtId="0" fontId="26" fillId="0" borderId="4" xfId="2" applyFont="1" applyBorder="1" applyAlignment="1">
      <alignment horizontal="left" vertical="center"/>
    </xf>
    <xf numFmtId="0" fontId="27" fillId="0" borderId="0" xfId="2" applyFont="1" applyAlignment="1">
      <alignment horizontal="right" vertical="center"/>
    </xf>
    <xf numFmtId="0" fontId="27" fillId="0" borderId="0" xfId="2" applyFont="1" applyAlignment="1">
      <alignment vertical="center"/>
    </xf>
    <xf numFmtId="0" fontId="28" fillId="0" borderId="0" xfId="2" applyFont="1"/>
    <xf numFmtId="0" fontId="28" fillId="0" borderId="0" xfId="2" applyFont="1" applyAlignment="1">
      <alignment horizontal="center"/>
    </xf>
    <xf numFmtId="0" fontId="28" fillId="0" borderId="0" xfId="2" applyFont="1" applyAlignment="1">
      <alignment horizontal="left"/>
    </xf>
    <xf numFmtId="0" fontId="28" fillId="0" borderId="0" xfId="0" applyFont="1"/>
    <xf numFmtId="3" fontId="28" fillId="0" borderId="0" xfId="0" applyNumberFormat="1" applyFont="1" applyAlignment="1">
      <alignment horizontal="center"/>
    </xf>
    <xf numFmtId="0" fontId="22" fillId="0" borderId="50" xfId="2" applyFont="1" applyBorder="1" applyAlignment="1">
      <alignment vertical="center"/>
    </xf>
    <xf numFmtId="0" fontId="28" fillId="0" borderId="51" xfId="2" applyFont="1" applyBorder="1" applyAlignment="1">
      <alignment horizontal="right" vertical="center"/>
    </xf>
    <xf numFmtId="0" fontId="28" fillId="0" borderId="51" xfId="2" applyFont="1" applyBorder="1" applyAlignment="1">
      <alignment horizontal="left" vertical="center" wrapText="1"/>
    </xf>
    <xf numFmtId="0" fontId="19" fillId="0" borderId="5" xfId="0" applyFont="1" applyBorder="1"/>
    <xf numFmtId="0" fontId="3" fillId="0" borderId="0" xfId="2" applyFont="1" applyAlignment="1">
      <alignment horizontal="center"/>
    </xf>
    <xf numFmtId="0" fontId="3" fillId="0" borderId="0" xfId="0" applyFont="1" applyAlignment="1">
      <alignment vertical="center"/>
    </xf>
    <xf numFmtId="0" fontId="3" fillId="0" borderId="5" xfId="2" applyFont="1" applyBorder="1" applyAlignment="1">
      <alignment vertical="center"/>
    </xf>
    <xf numFmtId="0" fontId="9" fillId="0" borderId="43" xfId="2" applyFont="1" applyBorder="1" applyAlignment="1">
      <alignment vertical="center"/>
    </xf>
    <xf numFmtId="0" fontId="3" fillId="0" borderId="44" xfId="0" applyFont="1" applyBorder="1"/>
    <xf numFmtId="0" fontId="3" fillId="0" borderId="45" xfId="0" applyFont="1" applyBorder="1"/>
    <xf numFmtId="0" fontId="3" fillId="0" borderId="44" xfId="2" applyFont="1" applyBorder="1" applyAlignment="1">
      <alignment vertical="center"/>
    </xf>
    <xf numFmtId="0" fontId="3" fillId="0" borderId="45" xfId="2" applyFont="1" applyBorder="1" applyAlignment="1">
      <alignment vertical="center"/>
    </xf>
    <xf numFmtId="0" fontId="9" fillId="0" borderId="1" xfId="2" applyFont="1" applyBorder="1" applyAlignment="1">
      <alignment vertical="center"/>
    </xf>
    <xf numFmtId="0" fontId="3" fillId="0" borderId="3" xfId="2" applyFont="1" applyBorder="1" applyAlignment="1">
      <alignment vertical="center"/>
    </xf>
    <xf numFmtId="0" fontId="17" fillId="0" borderId="1" xfId="2" applyFont="1" applyBorder="1" applyAlignment="1">
      <alignment vertical="top" wrapText="1"/>
    </xf>
    <xf numFmtId="0" fontId="19" fillId="0" borderId="3" xfId="2" applyFont="1" applyBorder="1" applyAlignment="1">
      <alignment vertical="top" wrapText="1"/>
    </xf>
    <xf numFmtId="0" fontId="19" fillId="0" borderId="1" xfId="2" applyFont="1" applyBorder="1" applyAlignment="1">
      <alignment vertical="top" wrapText="1"/>
    </xf>
    <xf numFmtId="0" fontId="19" fillId="0" borderId="0" xfId="2" applyFont="1" applyAlignment="1">
      <alignment vertical="top" wrapText="1"/>
    </xf>
    <xf numFmtId="0" fontId="19" fillId="0" borderId="5" xfId="2" applyFont="1" applyBorder="1" applyAlignment="1">
      <alignment vertical="top" wrapText="1"/>
    </xf>
    <xf numFmtId="0" fontId="19" fillId="0" borderId="0" xfId="2" applyFont="1"/>
    <xf numFmtId="0" fontId="27" fillId="0" borderId="52" xfId="2" applyFont="1" applyBorder="1" applyAlignment="1">
      <alignment vertical="center"/>
    </xf>
    <xf numFmtId="0" fontId="28" fillId="0" borderId="53" xfId="2" applyFont="1" applyBorder="1" applyAlignment="1">
      <alignment vertical="center"/>
    </xf>
    <xf numFmtId="0" fontId="27" fillId="0" borderId="4" xfId="2" applyFont="1" applyBorder="1"/>
    <xf numFmtId="3" fontId="28" fillId="0" borderId="5" xfId="2" applyNumberFormat="1" applyFont="1" applyBorder="1" applyAlignment="1">
      <alignment horizontal="center"/>
    </xf>
    <xf numFmtId="3" fontId="28" fillId="0" borderId="0" xfId="2" applyNumberFormat="1" applyFont="1" applyAlignment="1">
      <alignment horizontal="center"/>
    </xf>
    <xf numFmtId="0" fontId="19" fillId="0" borderId="4" xfId="2" applyFont="1" applyBorder="1" applyAlignment="1">
      <alignment vertical="center"/>
    </xf>
    <xf numFmtId="0" fontId="19" fillId="0" borderId="0" xfId="2" applyFont="1" applyAlignment="1">
      <alignment vertical="center"/>
    </xf>
    <xf numFmtId="0" fontId="19" fillId="0" borderId="5" xfId="2" applyFont="1" applyBorder="1" applyAlignment="1">
      <alignment vertical="center"/>
    </xf>
    <xf numFmtId="0" fontId="3" fillId="0" borderId="54" xfId="0" applyFont="1" applyBorder="1"/>
    <xf numFmtId="0" fontId="3" fillId="0" borderId="55" xfId="0" applyFont="1" applyBorder="1"/>
    <xf numFmtId="0" fontId="28" fillId="0" borderId="4" xfId="2" applyFont="1" applyBorder="1" applyAlignment="1">
      <alignment vertical="center"/>
    </xf>
    <xf numFmtId="3" fontId="28" fillId="0" borderId="5" xfId="2" applyNumberFormat="1" applyFont="1" applyBorder="1" applyAlignment="1">
      <alignment horizontal="center" vertical="center"/>
    </xf>
    <xf numFmtId="3" fontId="28" fillId="0" borderId="0" xfId="2" applyNumberFormat="1" applyFont="1" applyAlignment="1">
      <alignment horizontal="center" vertical="center"/>
    </xf>
    <xf numFmtId="0" fontId="27" fillId="0" borderId="4" xfId="2" applyFont="1" applyBorder="1" applyAlignment="1">
      <alignment horizontal="left" vertical="center"/>
    </xf>
    <xf numFmtId="0" fontId="27" fillId="0" borderId="4" xfId="2" applyFont="1" applyBorder="1" applyAlignment="1">
      <alignment vertical="center"/>
    </xf>
    <xf numFmtId="0" fontId="17" fillId="0" borderId="4" xfId="2" applyFont="1" applyBorder="1" applyAlignment="1">
      <alignment vertical="center"/>
    </xf>
    <xf numFmtId="0" fontId="17" fillId="0" borderId="0" xfId="2" applyFont="1" applyAlignment="1">
      <alignment vertical="center"/>
    </xf>
    <xf numFmtId="37" fontId="28" fillId="0" borderId="5" xfId="2" applyNumberFormat="1" applyFont="1" applyBorder="1" applyAlignment="1">
      <alignment horizontal="center" vertical="center"/>
    </xf>
    <xf numFmtId="3" fontId="28" fillId="0" borderId="53" xfId="2" applyNumberFormat="1" applyFont="1" applyBorder="1" applyAlignment="1">
      <alignment horizontal="center" vertical="center"/>
    </xf>
    <xf numFmtId="3" fontId="28" fillId="0" borderId="56" xfId="2" applyNumberFormat="1" applyFont="1" applyBorder="1" applyAlignment="1">
      <alignment horizontal="center" vertical="center"/>
    </xf>
    <xf numFmtId="0" fontId="19" fillId="0" borderId="18" xfId="2" applyFont="1" applyBorder="1" applyAlignment="1">
      <alignment vertical="center"/>
    </xf>
    <xf numFmtId="0" fontId="19" fillId="0" borderId="19" xfId="2" applyFont="1" applyBorder="1" applyAlignment="1">
      <alignment vertical="center"/>
    </xf>
    <xf numFmtId="0" fontId="19" fillId="0" borderId="20" xfId="2" applyFont="1" applyBorder="1" applyAlignment="1">
      <alignment vertical="center"/>
    </xf>
    <xf numFmtId="0" fontId="3" fillId="0" borderId="18" xfId="2" applyFont="1" applyBorder="1" applyAlignment="1">
      <alignment vertical="center"/>
    </xf>
    <xf numFmtId="3" fontId="3" fillId="0" borderId="19" xfId="2" applyNumberFormat="1" applyFont="1" applyBorder="1" applyAlignment="1">
      <alignment horizontal="center" vertical="center"/>
    </xf>
    <xf numFmtId="3" fontId="3" fillId="0" borderId="20" xfId="2" applyNumberFormat="1" applyFont="1" applyBorder="1" applyAlignment="1">
      <alignment horizontal="center" vertical="center"/>
    </xf>
    <xf numFmtId="0" fontId="3" fillId="0" borderId="20" xfId="2" applyFont="1" applyBorder="1" applyAlignment="1">
      <alignment vertical="center"/>
    </xf>
    <xf numFmtId="3" fontId="3" fillId="0" borderId="0" xfId="2" applyNumberFormat="1" applyFont="1" applyAlignment="1">
      <alignment horizontal="center" vertical="center"/>
    </xf>
    <xf numFmtId="3" fontId="3" fillId="0" borderId="5" xfId="2" applyNumberFormat="1" applyFont="1" applyBorder="1" applyAlignment="1">
      <alignment horizontal="center" vertical="center"/>
    </xf>
    <xf numFmtId="0" fontId="3" fillId="0" borderId="4" xfId="0" applyFont="1" applyBorder="1"/>
    <xf numFmtId="0" fontId="3" fillId="0" borderId="18" xfId="0" applyFont="1" applyBorder="1"/>
    <xf numFmtId="0" fontId="3" fillId="0" borderId="19" xfId="0" applyFont="1" applyBorder="1"/>
    <xf numFmtId="3" fontId="3" fillId="0" borderId="19" xfId="0" applyNumberFormat="1" applyFont="1" applyBorder="1" applyAlignment="1">
      <alignment horizontal="center"/>
    </xf>
    <xf numFmtId="0" fontId="3" fillId="0" borderId="20" xfId="0" applyFont="1" applyBorder="1"/>
    <xf numFmtId="0" fontId="19" fillId="0" borderId="30" xfId="2" applyFont="1" applyBorder="1" applyAlignment="1">
      <alignment vertical="center"/>
    </xf>
    <xf numFmtId="0" fontId="19" fillId="0" borderId="32" xfId="2" applyFont="1" applyBorder="1" applyAlignment="1">
      <alignment vertical="center"/>
    </xf>
    <xf numFmtId="0" fontId="19" fillId="0" borderId="33" xfId="2" applyFont="1" applyBorder="1" applyAlignment="1">
      <alignment vertical="center"/>
    </xf>
    <xf numFmtId="0" fontId="19" fillId="0" borderId="34" xfId="2" applyFont="1" applyBorder="1" applyAlignment="1">
      <alignment vertical="center"/>
    </xf>
    <xf numFmtId="0" fontId="17" fillId="0" borderId="33" xfId="2" applyFont="1" applyBorder="1" applyAlignment="1">
      <alignment vertical="center"/>
    </xf>
    <xf numFmtId="0" fontId="17" fillId="0" borderId="30" xfId="2" applyFont="1" applyBorder="1" applyAlignment="1">
      <alignment vertical="center"/>
    </xf>
    <xf numFmtId="0" fontId="17" fillId="0" borderId="24" xfId="2" applyFont="1" applyBorder="1" applyAlignment="1">
      <alignment vertical="center"/>
    </xf>
    <xf numFmtId="0" fontId="19" fillId="0" borderId="24" xfId="2" applyFont="1" applyBorder="1" applyAlignment="1">
      <alignment vertical="center"/>
    </xf>
    <xf numFmtId="0" fontId="0" fillId="0" borderId="30" xfId="0" applyBorder="1"/>
    <xf numFmtId="0" fontId="10" fillId="0" borderId="0" xfId="2" applyFont="1"/>
    <xf numFmtId="0" fontId="31" fillId="0" borderId="0" xfId="0" applyFont="1" applyAlignment="1">
      <alignment vertical="center"/>
    </xf>
    <xf numFmtId="0" fontId="32" fillId="0" borderId="0" xfId="2" applyFont="1" applyAlignment="1">
      <alignment horizontal="left"/>
    </xf>
    <xf numFmtId="0" fontId="3" fillId="0" borderId="0" xfId="2" applyFont="1" applyAlignment="1">
      <alignment horizontal="center" vertical="center"/>
    </xf>
    <xf numFmtId="0" fontId="3" fillId="0" borderId="5" xfId="2" applyFont="1" applyBorder="1" applyAlignment="1">
      <alignment horizontal="center" vertical="center"/>
    </xf>
    <xf numFmtId="167" fontId="35" fillId="0" borderId="46" xfId="1" applyNumberFormat="1" applyFont="1" applyBorder="1" applyAlignment="1">
      <alignment vertical="center"/>
    </xf>
    <xf numFmtId="169" fontId="36" fillId="4" borderId="0" xfId="0" applyNumberFormat="1" applyFont="1" applyFill="1" applyProtection="1">
      <protection locked="0"/>
    </xf>
    <xf numFmtId="0" fontId="37" fillId="0" borderId="0" xfId="0" applyFont="1" applyProtection="1">
      <protection locked="0"/>
    </xf>
    <xf numFmtId="2" fontId="37" fillId="0" borderId="0" xfId="0" applyNumberFormat="1" applyFont="1" applyProtection="1">
      <protection locked="0"/>
    </xf>
    <xf numFmtId="1" fontId="37" fillId="0" borderId="0" xfId="0" applyNumberFormat="1" applyFont="1" applyProtection="1">
      <protection locked="0"/>
    </xf>
    <xf numFmtId="1" fontId="36" fillId="0" borderId="0" xfId="0" applyNumberFormat="1" applyFont="1" applyProtection="1">
      <protection locked="0"/>
    </xf>
    <xf numFmtId="1" fontId="36" fillId="4" borderId="0" xfId="0" applyNumberFormat="1" applyFont="1" applyFill="1" applyProtection="1">
      <protection locked="0"/>
    </xf>
    <xf numFmtId="0" fontId="37" fillId="0" borderId="0" xfId="0" applyFont="1" applyAlignment="1" applyProtection="1">
      <alignment vertical="center" wrapText="1"/>
      <protection locked="0"/>
    </xf>
    <xf numFmtId="0" fontId="37" fillId="0" borderId="0" xfId="0" applyFont="1" applyAlignment="1" applyProtection="1">
      <alignment vertical="center"/>
      <protection locked="0"/>
    </xf>
    <xf numFmtId="0" fontId="37" fillId="0" borderId="0" xfId="0" applyFont="1" applyAlignment="1" applyProtection="1">
      <alignment wrapText="1"/>
      <protection locked="0"/>
    </xf>
    <xf numFmtId="0" fontId="36" fillId="0" borderId="0" xfId="0" applyFont="1" applyAlignment="1" applyProtection="1">
      <alignment wrapText="1"/>
      <protection locked="0"/>
    </xf>
    <xf numFmtId="0" fontId="36" fillId="0" borderId="0" xfId="0" applyFont="1" applyProtection="1">
      <protection locked="0"/>
    </xf>
    <xf numFmtId="1" fontId="37" fillId="0" borderId="0" xfId="0" applyNumberFormat="1" applyFont="1" applyAlignment="1" applyProtection="1">
      <alignment vertical="center"/>
      <protection locked="0"/>
    </xf>
    <xf numFmtId="0" fontId="38" fillId="0" borderId="0" xfId="0" applyFont="1" applyProtection="1">
      <protection locked="0"/>
    </xf>
    <xf numFmtId="0" fontId="36" fillId="3" borderId="0" xfId="0" applyFont="1" applyFill="1" applyAlignment="1">
      <alignment horizontal="center" vertical="center"/>
    </xf>
    <xf numFmtId="168" fontId="36" fillId="3" borderId="0" xfId="1" applyNumberFormat="1" applyFont="1" applyFill="1" applyBorder="1" applyAlignment="1">
      <alignment horizontal="center" vertical="center"/>
    </xf>
    <xf numFmtId="0" fontId="38" fillId="3" borderId="0" xfId="0" applyFont="1" applyFill="1"/>
    <xf numFmtId="168" fontId="38" fillId="3" borderId="0" xfId="1" applyNumberFormat="1" applyFont="1" applyFill="1" applyBorder="1"/>
    <xf numFmtId="0" fontId="36" fillId="3" borderId="0" xfId="0" applyFont="1" applyFill="1"/>
    <xf numFmtId="170" fontId="38" fillId="0" borderId="0" xfId="0" applyNumberFormat="1" applyFont="1" applyProtection="1">
      <protection locked="0"/>
    </xf>
    <xf numFmtId="169" fontId="36" fillId="4" borderId="0" xfId="1" applyNumberFormat="1" applyFont="1" applyFill="1" applyBorder="1"/>
    <xf numFmtId="168" fontId="36" fillId="3" borderId="0" xfId="1" applyNumberFormat="1" applyFont="1" applyFill="1" applyBorder="1" applyAlignment="1">
      <alignment wrapText="1"/>
    </xf>
    <xf numFmtId="0" fontId="38" fillId="5" borderId="0" xfId="0" applyFont="1" applyFill="1" applyProtection="1">
      <protection locked="0"/>
    </xf>
    <xf numFmtId="1" fontId="38" fillId="0" borderId="0" xfId="0" applyNumberFormat="1" applyFont="1" applyProtection="1">
      <protection locked="0"/>
    </xf>
    <xf numFmtId="2" fontId="38" fillId="0" borderId="0" xfId="0" applyNumberFormat="1" applyFont="1" applyProtection="1">
      <protection locked="0"/>
    </xf>
    <xf numFmtId="169" fontId="37" fillId="0" borderId="0" xfId="0" applyNumberFormat="1" applyFont="1" applyProtection="1">
      <protection locked="0"/>
    </xf>
    <xf numFmtId="171" fontId="38" fillId="0" borderId="0" xfId="0" applyNumberFormat="1" applyFont="1" applyProtection="1">
      <protection locked="0"/>
    </xf>
    <xf numFmtId="0" fontId="38" fillId="3" borderId="0" xfId="0" applyFont="1" applyFill="1" applyAlignment="1">
      <alignment horizontal="left" vertical="top" wrapText="1"/>
    </xf>
    <xf numFmtId="0" fontId="37" fillId="3" borderId="0" xfId="0" applyFont="1" applyFill="1" applyAlignment="1">
      <alignment horizontal="left" vertical="top" wrapText="1"/>
    </xf>
    <xf numFmtId="0" fontId="38" fillId="5" borderId="0" xfId="0" applyFont="1" applyFill="1" applyAlignment="1">
      <alignment horizontal="left" vertical="top" wrapText="1"/>
    </xf>
    <xf numFmtId="0" fontId="37" fillId="5" borderId="0" xfId="0" applyFont="1" applyFill="1" applyAlignment="1">
      <alignment horizontal="left" vertical="top" wrapText="1"/>
    </xf>
    <xf numFmtId="0" fontId="36" fillId="5" borderId="0" xfId="0" applyFont="1" applyFill="1"/>
    <xf numFmtId="0" fontId="38" fillId="3" borderId="0" xfId="0" applyFont="1" applyFill="1" applyProtection="1">
      <protection locked="0"/>
    </xf>
    <xf numFmtId="0" fontId="36" fillId="0" borderId="0" xfId="0" applyFont="1" applyAlignment="1" applyProtection="1">
      <alignment horizontal="center"/>
      <protection locked="0"/>
    </xf>
    <xf numFmtId="0" fontId="38" fillId="0" borderId="0" xfId="0" applyFont="1" applyAlignment="1" applyProtection="1">
      <alignment vertical="top" wrapText="1"/>
      <protection locked="0"/>
    </xf>
    <xf numFmtId="0" fontId="38" fillId="0" borderId="0" xfId="0" applyFont="1" applyAlignment="1" applyProtection="1">
      <alignment wrapText="1"/>
      <protection locked="0"/>
    </xf>
    <xf numFmtId="0" fontId="38" fillId="0" borderId="0" xfId="0" applyFont="1" applyAlignment="1" applyProtection="1">
      <alignment vertical="center" wrapText="1"/>
      <protection locked="0"/>
    </xf>
    <xf numFmtId="0" fontId="38" fillId="0" borderId="0" xfId="0" applyFont="1" applyAlignment="1" applyProtection="1">
      <alignment vertical="center"/>
      <protection locked="0"/>
    </xf>
    <xf numFmtId="0" fontId="38" fillId="0" borderId="0" xfId="0" applyFont="1" applyAlignment="1" applyProtection="1">
      <alignment horizontal="center"/>
      <protection locked="0"/>
    </xf>
    <xf numFmtId="171" fontId="36" fillId="0" borderId="0" xfId="0" applyNumberFormat="1" applyFont="1" applyProtection="1">
      <protection locked="0"/>
    </xf>
    <xf numFmtId="1" fontId="38" fillId="0" borderId="0" xfId="0" applyNumberFormat="1" applyFont="1" applyAlignment="1" applyProtection="1">
      <alignment vertical="center"/>
      <protection locked="0"/>
    </xf>
    <xf numFmtId="169" fontId="37" fillId="0" borderId="0" xfId="0" applyNumberFormat="1" applyFont="1" applyAlignment="1" applyProtection="1">
      <alignment vertical="center"/>
      <protection locked="0"/>
    </xf>
    <xf numFmtId="0" fontId="36" fillId="0" borderId="0" xfId="0" applyFont="1" applyAlignment="1" applyProtection="1">
      <alignment vertical="center" wrapText="1"/>
      <protection locked="0"/>
    </xf>
    <xf numFmtId="0" fontId="36" fillId="5" borderId="0" xfId="0" applyFont="1" applyFill="1" applyAlignment="1" applyProtection="1">
      <alignment vertical="center" wrapText="1"/>
      <protection locked="0"/>
    </xf>
    <xf numFmtId="2" fontId="36" fillId="5" borderId="0" xfId="0" applyNumberFormat="1" applyFont="1" applyFill="1" applyProtection="1">
      <protection locked="0"/>
    </xf>
    <xf numFmtId="2" fontId="36" fillId="0" borderId="0" xfId="0" applyNumberFormat="1" applyFont="1" applyProtection="1">
      <protection locked="0"/>
    </xf>
    <xf numFmtId="0" fontId="38" fillId="3" borderId="0" xfId="0" applyFont="1" applyFill="1" applyAlignment="1" applyProtection="1">
      <alignment wrapText="1"/>
      <protection locked="0"/>
    </xf>
    <xf numFmtId="169" fontId="38" fillId="0" borderId="0" xfId="0" applyNumberFormat="1" applyFont="1" applyProtection="1">
      <protection locked="0"/>
    </xf>
    <xf numFmtId="0" fontId="40" fillId="0" borderId="0" xfId="0" applyFont="1" applyAlignment="1" applyProtection="1">
      <alignment vertical="center" wrapText="1"/>
      <protection locked="0"/>
    </xf>
    <xf numFmtId="171" fontId="38" fillId="0" borderId="0" xfId="0" applyNumberFormat="1" applyFont="1" applyAlignment="1" applyProtection="1">
      <alignment wrapText="1"/>
      <protection locked="0"/>
    </xf>
    <xf numFmtId="2" fontId="37" fillId="3" borderId="0" xfId="0" applyNumberFormat="1" applyFont="1" applyFill="1" applyAlignment="1" applyProtection="1">
      <alignment vertical="top" wrapText="1"/>
      <protection locked="0"/>
    </xf>
    <xf numFmtId="0" fontId="36" fillId="5" borderId="0" xfId="0" applyFont="1" applyFill="1" applyAlignment="1" applyProtection="1">
      <alignment wrapText="1"/>
      <protection locked="0"/>
    </xf>
    <xf numFmtId="0" fontId="37" fillId="5" borderId="0" xfId="0" applyFont="1" applyFill="1" applyProtection="1">
      <protection locked="0"/>
    </xf>
    <xf numFmtId="0" fontId="36" fillId="4" borderId="0" xfId="0" applyFont="1" applyFill="1" applyProtection="1">
      <protection locked="0"/>
    </xf>
    <xf numFmtId="0" fontId="36" fillId="5" borderId="0" xfId="0" applyFont="1" applyFill="1" applyProtection="1">
      <protection locked="0"/>
    </xf>
    <xf numFmtId="0" fontId="36" fillId="0" borderId="0" xfId="0" applyFont="1" applyAlignment="1" applyProtection="1">
      <alignment horizontal="left"/>
      <protection locked="0"/>
    </xf>
    <xf numFmtId="0" fontId="36" fillId="5" borderId="0" xfId="0" applyFont="1" applyFill="1" applyAlignment="1" applyProtection="1">
      <alignment horizontal="left"/>
      <protection locked="0"/>
    </xf>
    <xf numFmtId="1" fontId="36" fillId="5" borderId="0" xfId="0" applyNumberFormat="1" applyFont="1" applyFill="1" applyProtection="1">
      <protection locked="0"/>
    </xf>
    <xf numFmtId="0" fontId="38" fillId="0" borderId="0" xfId="0" quotePrefix="1" applyFont="1" applyProtection="1">
      <protection locked="0"/>
    </xf>
    <xf numFmtId="169" fontId="37" fillId="3" borderId="0" xfId="0" applyNumberFormat="1" applyFont="1" applyFill="1" applyAlignment="1" applyProtection="1">
      <alignment vertical="center"/>
      <protection locked="0"/>
    </xf>
    <xf numFmtId="169" fontId="36" fillId="4" borderId="0" xfId="0" applyNumberFormat="1" applyFont="1" applyFill="1" applyAlignment="1" applyProtection="1">
      <alignment vertical="center"/>
      <protection locked="0"/>
    </xf>
    <xf numFmtId="0" fontId="36" fillId="0" borderId="0" xfId="0" applyFont="1" applyAlignment="1" applyProtection="1">
      <alignment vertical="center"/>
      <protection locked="0"/>
    </xf>
    <xf numFmtId="0" fontId="36" fillId="5" borderId="0" xfId="0" applyFont="1" applyFill="1" applyAlignment="1" applyProtection="1">
      <alignment vertical="center"/>
      <protection locked="0"/>
    </xf>
    <xf numFmtId="2" fontId="36" fillId="0" borderId="0" xfId="0" applyNumberFormat="1" applyFont="1" applyAlignment="1" applyProtection="1">
      <alignment vertical="center"/>
      <protection locked="0"/>
    </xf>
    <xf numFmtId="0" fontId="36" fillId="0" borderId="0" xfId="0" applyFont="1" applyAlignment="1" applyProtection="1">
      <alignment horizontal="center" wrapText="1"/>
      <protection locked="0"/>
    </xf>
    <xf numFmtId="169" fontId="36" fillId="0" borderId="0" xfId="0" applyNumberFormat="1" applyFont="1" applyProtection="1">
      <protection locked="0"/>
    </xf>
    <xf numFmtId="0" fontId="36" fillId="6" borderId="0" xfId="0" applyFont="1" applyFill="1" applyProtection="1">
      <protection locked="0"/>
    </xf>
    <xf numFmtId="167" fontId="36" fillId="6" borderId="0" xfId="0" applyNumberFormat="1" applyFont="1" applyFill="1" applyProtection="1">
      <protection locked="0"/>
    </xf>
    <xf numFmtId="164" fontId="38" fillId="0" borderId="0" xfId="0" applyNumberFormat="1" applyFont="1" applyProtection="1">
      <protection locked="0"/>
    </xf>
    <xf numFmtId="164" fontId="38" fillId="3" borderId="0" xfId="0" applyNumberFormat="1" applyFont="1" applyFill="1" applyProtection="1">
      <protection locked="0"/>
    </xf>
    <xf numFmtId="0" fontId="34" fillId="3" borderId="0" xfId="4" applyFill="1" applyAlignment="1">
      <alignment vertical="center"/>
    </xf>
    <xf numFmtId="0" fontId="0" fillId="0" borderId="0" xfId="0" applyProtection="1">
      <protection locked="0"/>
    </xf>
    <xf numFmtId="165" fontId="38" fillId="0" borderId="0" xfId="6" applyFont="1" applyProtection="1">
      <protection locked="0"/>
    </xf>
    <xf numFmtId="0" fontId="42" fillId="7" borderId="0" xfId="0" applyFont="1" applyFill="1" applyAlignment="1">
      <alignment vertical="center"/>
    </xf>
    <xf numFmtId="0" fontId="34" fillId="9" borderId="0" xfId="4" applyFill="1" applyAlignment="1">
      <alignment vertical="center"/>
    </xf>
    <xf numFmtId="0" fontId="34" fillId="9" borderId="36" xfId="4" applyFill="1" applyBorder="1" applyAlignment="1">
      <alignment vertical="center"/>
    </xf>
    <xf numFmtId="0" fontId="42" fillId="7" borderId="0" xfId="0" applyFont="1" applyFill="1"/>
    <xf numFmtId="0" fontId="37" fillId="10" borderId="0" xfId="0" applyFont="1" applyFill="1" applyProtection="1">
      <protection locked="0"/>
    </xf>
    <xf numFmtId="169" fontId="37" fillId="10" borderId="0" xfId="0" applyNumberFormat="1" applyFont="1" applyFill="1" applyProtection="1">
      <protection locked="0"/>
    </xf>
    <xf numFmtId="0" fontId="37" fillId="10" borderId="0" xfId="0" applyFont="1" applyFill="1"/>
    <xf numFmtId="0" fontId="38" fillId="10" borderId="0" xfId="0" applyFont="1" applyFill="1" applyAlignment="1" applyProtection="1">
      <alignment vertical="top" wrapText="1"/>
      <protection locked="0"/>
    </xf>
    <xf numFmtId="165" fontId="38" fillId="8" borderId="0" xfId="6" applyFont="1" applyFill="1" applyProtection="1">
      <protection locked="0"/>
    </xf>
    <xf numFmtId="0" fontId="37" fillId="10" borderId="0" xfId="0" applyFont="1" applyFill="1" applyAlignment="1">
      <alignment horizontal="left" vertical="center"/>
    </xf>
    <xf numFmtId="0" fontId="38" fillId="10" borderId="0" xfId="0" applyFont="1" applyFill="1" applyProtection="1">
      <protection locked="0"/>
    </xf>
    <xf numFmtId="165" fontId="38" fillId="10" borderId="0" xfId="6" applyFont="1" applyFill="1" applyProtection="1">
      <protection locked="0"/>
    </xf>
    <xf numFmtId="0" fontId="38" fillId="10" borderId="0" xfId="0" applyFont="1" applyFill="1"/>
    <xf numFmtId="1" fontId="38" fillId="10" borderId="0" xfId="0" applyNumberFormat="1" applyFont="1" applyFill="1" applyProtection="1">
      <protection locked="0"/>
    </xf>
    <xf numFmtId="170" fontId="38" fillId="10" borderId="0" xfId="0" applyNumberFormat="1" applyFont="1" applyFill="1" applyProtection="1">
      <protection locked="0"/>
    </xf>
    <xf numFmtId="171" fontId="38" fillId="10" borderId="0" xfId="0" applyNumberFormat="1" applyFont="1" applyFill="1" applyProtection="1">
      <protection locked="0"/>
    </xf>
    <xf numFmtId="2" fontId="38" fillId="10" borderId="0" xfId="0" applyNumberFormat="1" applyFont="1" applyFill="1" applyProtection="1">
      <protection locked="0"/>
    </xf>
    <xf numFmtId="0" fontId="36" fillId="10" borderId="0" xfId="0" applyFont="1" applyFill="1"/>
    <xf numFmtId="169" fontId="36" fillId="10" borderId="0" xfId="0" applyNumberFormat="1" applyFont="1" applyFill="1" applyProtection="1">
      <protection locked="0"/>
    </xf>
    <xf numFmtId="0" fontId="36" fillId="10" borderId="57" xfId="0" applyFont="1" applyFill="1" applyBorder="1"/>
    <xf numFmtId="168" fontId="38" fillId="10" borderId="0" xfId="1" applyNumberFormat="1" applyFont="1" applyFill="1" applyBorder="1"/>
    <xf numFmtId="169" fontId="38" fillId="10" borderId="0" xfId="1" applyNumberFormat="1" applyFont="1" applyFill="1" applyBorder="1"/>
    <xf numFmtId="0" fontId="38" fillId="10" borderId="0" xfId="0" applyFont="1" applyFill="1" applyAlignment="1" applyProtection="1">
      <alignment wrapText="1"/>
      <protection locked="0"/>
    </xf>
    <xf numFmtId="0" fontId="38" fillId="10" borderId="0" xfId="0" applyFont="1" applyFill="1" applyAlignment="1" applyProtection="1">
      <alignment vertical="center" wrapText="1"/>
      <protection locked="0"/>
    </xf>
    <xf numFmtId="171" fontId="37" fillId="10" borderId="0" xfId="0" applyNumberFormat="1" applyFont="1" applyFill="1" applyProtection="1">
      <protection locked="0"/>
    </xf>
    <xf numFmtId="0" fontId="38" fillId="10" borderId="0" xfId="0" applyFont="1" applyFill="1" applyAlignment="1" applyProtection="1">
      <alignment vertical="center"/>
      <protection locked="0"/>
    </xf>
    <xf numFmtId="171" fontId="38" fillId="10" borderId="0" xfId="0" applyNumberFormat="1" applyFont="1" applyFill="1" applyAlignment="1" applyProtection="1">
      <alignment vertical="center"/>
      <protection locked="0"/>
    </xf>
    <xf numFmtId="165" fontId="38" fillId="0" borderId="0" xfId="0" applyNumberFormat="1" applyFont="1" applyProtection="1">
      <protection locked="0"/>
    </xf>
    <xf numFmtId="2" fontId="37" fillId="10" borderId="0" xfId="0" applyNumberFormat="1" applyFont="1" applyFill="1" applyProtection="1">
      <protection locked="0"/>
    </xf>
    <xf numFmtId="1" fontId="37" fillId="10" borderId="0" xfId="0" applyNumberFormat="1" applyFont="1" applyFill="1" applyProtection="1">
      <protection locked="0"/>
    </xf>
    <xf numFmtId="0" fontId="38" fillId="10" borderId="0" xfId="0" applyFont="1" applyFill="1" applyAlignment="1" applyProtection="1">
      <alignment horizontal="right" vertical="center"/>
      <protection locked="0"/>
    </xf>
    <xf numFmtId="173" fontId="34" fillId="9" borderId="36" xfId="4" applyNumberFormat="1" applyFill="1" applyBorder="1" applyAlignment="1">
      <alignment vertical="center"/>
    </xf>
    <xf numFmtId="0" fontId="38" fillId="8" borderId="0" xfId="0" applyFont="1" applyFill="1" applyAlignment="1" applyProtection="1">
      <alignment vertical="center" wrapText="1"/>
      <protection locked="0"/>
    </xf>
    <xf numFmtId="165" fontId="37" fillId="0" borderId="0" xfId="6" applyFont="1" applyProtection="1">
      <protection locked="0"/>
    </xf>
    <xf numFmtId="165" fontId="37" fillId="0" borderId="0" xfId="0" applyNumberFormat="1" applyFont="1" applyProtection="1">
      <protection locked="0"/>
    </xf>
    <xf numFmtId="171" fontId="37" fillId="8" borderId="0" xfId="0" applyNumberFormat="1" applyFont="1" applyFill="1" applyProtection="1">
      <protection locked="0"/>
    </xf>
    <xf numFmtId="165" fontId="38" fillId="10" borderId="0" xfId="0" applyNumberFormat="1" applyFont="1" applyFill="1" applyProtection="1">
      <protection locked="0"/>
    </xf>
    <xf numFmtId="165" fontId="34" fillId="9" borderId="36" xfId="4" applyNumberFormat="1" applyFill="1" applyBorder="1" applyAlignment="1">
      <alignment vertical="center"/>
    </xf>
    <xf numFmtId="0" fontId="38" fillId="8" borderId="0" xfId="0" applyFont="1" applyFill="1" applyProtection="1">
      <protection locked="0"/>
    </xf>
    <xf numFmtId="0" fontId="38" fillId="8" borderId="0" xfId="0" applyFont="1" applyFill="1" applyAlignment="1" applyProtection="1">
      <alignment wrapText="1"/>
      <protection locked="0"/>
    </xf>
    <xf numFmtId="169" fontId="37" fillId="8" borderId="0" xfId="0" applyNumberFormat="1" applyFont="1" applyFill="1" applyProtection="1">
      <protection locked="0"/>
    </xf>
    <xf numFmtId="169" fontId="37" fillId="8" borderId="0" xfId="0" applyNumberFormat="1" applyFont="1" applyFill="1" applyAlignment="1" applyProtection="1">
      <alignment vertical="center"/>
      <protection locked="0"/>
    </xf>
    <xf numFmtId="1" fontId="37" fillId="10" borderId="0" xfId="0" applyNumberFormat="1" applyFont="1" applyFill="1" applyAlignment="1" applyProtection="1">
      <alignment vertical="center"/>
      <protection locked="0"/>
    </xf>
    <xf numFmtId="1" fontId="37" fillId="3" borderId="0" xfId="0" applyNumberFormat="1" applyFont="1" applyFill="1" applyProtection="1">
      <protection locked="0"/>
    </xf>
    <xf numFmtId="171" fontId="38" fillId="3" borderId="0" xfId="0" applyNumberFormat="1" applyFont="1" applyFill="1" applyProtection="1">
      <protection locked="0"/>
    </xf>
    <xf numFmtId="169" fontId="37" fillId="3" borderId="0" xfId="0" applyNumberFormat="1" applyFont="1" applyFill="1" applyProtection="1">
      <protection locked="0"/>
    </xf>
    <xf numFmtId="0" fontId="36" fillId="3" borderId="0" xfId="0" applyFont="1" applyFill="1" applyAlignment="1" applyProtection="1">
      <alignment wrapText="1"/>
      <protection locked="0"/>
    </xf>
    <xf numFmtId="1" fontId="38" fillId="3" borderId="0" xfId="0" applyNumberFormat="1" applyFont="1" applyFill="1" applyAlignment="1" applyProtection="1">
      <alignment wrapText="1"/>
      <protection locked="0"/>
    </xf>
    <xf numFmtId="1" fontId="38" fillId="3" borderId="0" xfId="0" applyNumberFormat="1" applyFont="1" applyFill="1" applyProtection="1">
      <protection locked="0"/>
    </xf>
    <xf numFmtId="0" fontId="27" fillId="0" borderId="0" xfId="2" applyFont="1" applyAlignment="1">
      <alignment horizontal="left" vertical="center"/>
    </xf>
    <xf numFmtId="0" fontId="34" fillId="0" borderId="0" xfId="4" applyAlignment="1">
      <alignment vertical="center"/>
    </xf>
    <xf numFmtId="174" fontId="34" fillId="0" borderId="0" xfId="4" applyNumberFormat="1" applyAlignment="1">
      <alignment vertical="center"/>
    </xf>
    <xf numFmtId="172" fontId="43" fillId="0" borderId="36" xfId="1" applyNumberFormat="1" applyFont="1" applyFill="1" applyBorder="1" applyAlignment="1">
      <alignment vertical="center"/>
    </xf>
    <xf numFmtId="174" fontId="34" fillId="0" borderId="36" xfId="4" applyNumberFormat="1" applyBorder="1" applyAlignment="1">
      <alignment vertical="center"/>
    </xf>
    <xf numFmtId="0" fontId="34" fillId="0" borderId="36" xfId="4" applyBorder="1" applyAlignment="1">
      <alignment vertical="center"/>
    </xf>
    <xf numFmtId="0" fontId="34" fillId="0" borderId="36" xfId="4" applyBorder="1" applyAlignment="1">
      <alignment vertical="center" wrapText="1"/>
    </xf>
    <xf numFmtId="174" fontId="34" fillId="0" borderId="58" xfId="4" applyNumberFormat="1" applyBorder="1" applyAlignment="1">
      <alignment vertical="center" wrapText="1"/>
    </xf>
    <xf numFmtId="0" fontId="41" fillId="0" borderId="36" xfId="4" applyFont="1" applyBorder="1" applyAlignment="1">
      <alignment vertical="center"/>
    </xf>
    <xf numFmtId="0" fontId="34" fillId="0" borderId="58" xfId="4" applyBorder="1" applyAlignment="1">
      <alignment vertical="center" wrapText="1"/>
    </xf>
    <xf numFmtId="173" fontId="34" fillId="0" borderId="58" xfId="4" applyNumberFormat="1" applyBorder="1" applyAlignment="1">
      <alignment vertical="center" wrapText="1"/>
    </xf>
    <xf numFmtId="174" fontId="41" fillId="0" borderId="58" xfId="4" applyNumberFormat="1" applyFont="1" applyBorder="1" applyAlignment="1">
      <alignment vertical="center" wrapText="1"/>
    </xf>
    <xf numFmtId="0" fontId="41" fillId="0" borderId="36" xfId="4" applyFont="1" applyBorder="1" applyAlignment="1">
      <alignment vertical="center" wrapText="1"/>
    </xf>
    <xf numFmtId="0" fontId="44" fillId="0" borderId="0" xfId="0" applyFont="1" applyAlignment="1">
      <alignment vertical="center"/>
    </xf>
    <xf numFmtId="0" fontId="44" fillId="0" borderId="0" xfId="0" applyFont="1" applyAlignment="1">
      <alignment horizontal="center" vertical="center"/>
    </xf>
    <xf numFmtId="173" fontId="44" fillId="0" borderId="0" xfId="0" applyNumberFormat="1" applyFont="1" applyAlignment="1">
      <alignment vertical="center"/>
    </xf>
    <xf numFmtId="3" fontId="44" fillId="0" borderId="0" xfId="0" applyNumberFormat="1" applyFont="1" applyAlignment="1">
      <alignment vertical="center"/>
    </xf>
    <xf numFmtId="174" fontId="44" fillId="0" borderId="0" xfId="0" applyNumberFormat="1" applyFont="1" applyAlignment="1">
      <alignment vertical="center"/>
    </xf>
    <xf numFmtId="174" fontId="42" fillId="0" borderId="0" xfId="0" applyNumberFormat="1" applyFont="1"/>
    <xf numFmtId="0" fontId="46" fillId="0" borderId="36" xfId="4" applyFont="1" applyBorder="1" applyAlignment="1">
      <alignment vertical="center"/>
    </xf>
    <xf numFmtId="0" fontId="38" fillId="0" borderId="36" xfId="0" applyFont="1" applyBorder="1" applyAlignment="1" applyProtection="1">
      <alignment vertical="center"/>
      <protection locked="0"/>
    </xf>
    <xf numFmtId="175" fontId="43" fillId="0" borderId="36" xfId="1" applyNumberFormat="1" applyFont="1" applyFill="1" applyBorder="1" applyAlignment="1">
      <alignment vertical="center"/>
    </xf>
    <xf numFmtId="174" fontId="0" fillId="0" borderId="0" xfId="0" applyNumberFormat="1"/>
    <xf numFmtId="174" fontId="38" fillId="10" borderId="0" xfId="0" applyNumberFormat="1" applyFont="1" applyFill="1" applyProtection="1">
      <protection locked="0"/>
    </xf>
    <xf numFmtId="0" fontId="52" fillId="0" borderId="14" xfId="0" applyFont="1" applyBorder="1" applyAlignment="1">
      <alignment horizontal="center" vertical="center"/>
    </xf>
    <xf numFmtId="0" fontId="52" fillId="0" borderId="0" xfId="0" applyFont="1" applyAlignment="1">
      <alignment horizontal="center" vertical="center"/>
    </xf>
    <xf numFmtId="0" fontId="52" fillId="0" borderId="25" xfId="0" applyFont="1" applyBorder="1" applyAlignment="1">
      <alignment horizontal="center" vertical="center"/>
    </xf>
    <xf numFmtId="0" fontId="52" fillId="0" borderId="1" xfId="0" applyFont="1" applyBorder="1" applyAlignment="1">
      <alignment horizontal="center" vertical="center"/>
    </xf>
    <xf numFmtId="0" fontId="38" fillId="0" borderId="0" xfId="0" applyFont="1"/>
    <xf numFmtId="0" fontId="48" fillId="0" borderId="36" xfId="0" applyFont="1" applyBorder="1" applyAlignment="1">
      <alignment vertical="top"/>
    </xf>
    <xf numFmtId="0" fontId="48" fillId="0" borderId="36" xfId="0" applyFont="1" applyBorder="1" applyAlignment="1">
      <alignment vertical="center"/>
    </xf>
    <xf numFmtId="0" fontId="48" fillId="0" borderId="36" xfId="0" applyFont="1" applyBorder="1" applyAlignment="1" applyProtection="1">
      <alignment vertical="center" wrapText="1"/>
      <protection locked="0"/>
    </xf>
    <xf numFmtId="0" fontId="48" fillId="0" borderId="36" xfId="0" applyFont="1" applyBorder="1" applyAlignment="1" applyProtection="1">
      <alignment vertical="top" wrapText="1"/>
      <protection locked="0"/>
    </xf>
    <xf numFmtId="176" fontId="48" fillId="0" borderId="33" xfId="1" applyNumberFormat="1" applyFont="1" applyFill="1" applyBorder="1" applyAlignment="1">
      <alignment vertical="center"/>
    </xf>
    <xf numFmtId="176" fontId="48" fillId="0" borderId="43" xfId="1" applyNumberFormat="1" applyFont="1" applyFill="1" applyBorder="1" applyAlignment="1">
      <alignment vertical="center"/>
    </xf>
    <xf numFmtId="174" fontId="48" fillId="0" borderId="58" xfId="0" applyNumberFormat="1" applyFont="1" applyBorder="1" applyAlignment="1">
      <alignment vertical="center"/>
    </xf>
    <xf numFmtId="176" fontId="48" fillId="11" borderId="33" xfId="1" applyNumberFormat="1" applyFont="1" applyFill="1" applyBorder="1" applyAlignment="1">
      <alignment vertical="center"/>
    </xf>
    <xf numFmtId="174" fontId="48" fillId="11" borderId="58" xfId="0" applyNumberFormat="1" applyFont="1" applyFill="1" applyBorder="1" applyAlignment="1">
      <alignment vertical="center"/>
    </xf>
    <xf numFmtId="0" fontId="48" fillId="11" borderId="36" xfId="0" applyFont="1" applyFill="1" applyBorder="1" applyAlignment="1">
      <alignment vertical="top"/>
    </xf>
    <xf numFmtId="0" fontId="48" fillId="11" borderId="36" xfId="0" applyFont="1" applyFill="1" applyBorder="1" applyAlignment="1" applyProtection="1">
      <alignment vertical="top" wrapText="1"/>
      <protection locked="0"/>
    </xf>
    <xf numFmtId="0" fontId="38" fillId="11" borderId="0" xfId="0" applyFont="1" applyFill="1"/>
    <xf numFmtId="0" fontId="0" fillId="12" borderId="0" xfId="0" applyFill="1"/>
    <xf numFmtId="0" fontId="0" fillId="12" borderId="0" xfId="0" applyFill="1" applyAlignment="1">
      <alignment horizontal="center" vertical="center"/>
    </xf>
    <xf numFmtId="0" fontId="53" fillId="0" borderId="0" xfId="0" applyFont="1" applyAlignment="1">
      <alignment horizontal="left" vertical="center"/>
    </xf>
    <xf numFmtId="0" fontId="53" fillId="13" borderId="0" xfId="0" applyFont="1" applyFill="1" applyAlignment="1">
      <alignment horizontal="left" vertical="center"/>
    </xf>
    <xf numFmtId="0" fontId="44" fillId="0" borderId="36" xfId="0" applyFont="1" applyBorder="1" applyAlignment="1">
      <alignment horizontal="center" vertical="center"/>
    </xf>
    <xf numFmtId="3" fontId="44" fillId="0" borderId="36" xfId="0" applyNumberFormat="1" applyFont="1" applyBorder="1" applyAlignment="1">
      <alignment vertical="center"/>
    </xf>
    <xf numFmtId="0" fontId="0" fillId="0" borderId="36" xfId="0" applyBorder="1" applyProtection="1">
      <protection locked="0"/>
    </xf>
    <xf numFmtId="0" fontId="34" fillId="0" borderId="36" xfId="4" applyBorder="1"/>
    <xf numFmtId="173" fontId="34" fillId="0" borderId="58" xfId="4" applyNumberFormat="1" applyBorder="1" applyAlignment="1">
      <alignment wrapText="1"/>
    </xf>
    <xf numFmtId="173" fontId="34" fillId="0" borderId="36" xfId="4" applyNumberFormat="1" applyBorder="1" applyAlignment="1">
      <alignment vertical="center" wrapText="1"/>
    </xf>
    <xf numFmtId="0" fontId="41" fillId="0" borderId="36" xfId="4" applyFont="1" applyBorder="1" applyAlignment="1">
      <alignment horizontal="left" vertical="center"/>
    </xf>
    <xf numFmtId="0" fontId="34" fillId="0" borderId="36" xfId="4" applyBorder="1" applyAlignment="1">
      <alignment horizontal="right" vertical="center"/>
    </xf>
    <xf numFmtId="173" fontId="34" fillId="0" borderId="36" xfId="4" applyNumberFormat="1" applyBorder="1" applyAlignment="1">
      <alignment horizontal="right" vertical="center" wrapText="1"/>
    </xf>
    <xf numFmtId="0" fontId="41" fillId="0" borderId="36" xfId="4" applyFont="1" applyBorder="1" applyAlignment="1">
      <alignment horizontal="left" vertical="center" wrapText="1"/>
    </xf>
    <xf numFmtId="0" fontId="55" fillId="0" borderId="0" xfId="0" applyFont="1" applyAlignment="1">
      <alignment horizontal="left" vertical="center"/>
    </xf>
    <xf numFmtId="0" fontId="55" fillId="13" borderId="0" xfId="0" applyFont="1" applyFill="1" applyAlignment="1">
      <alignment horizontal="left" vertical="center"/>
    </xf>
    <xf numFmtId="0" fontId="56" fillId="0" borderId="0" xfId="0" applyFont="1" applyAlignment="1">
      <alignment horizontal="left" vertical="center"/>
    </xf>
    <xf numFmtId="0" fontId="56" fillId="13" borderId="0" xfId="0" applyFont="1" applyFill="1" applyAlignment="1">
      <alignment horizontal="left" vertical="center"/>
    </xf>
    <xf numFmtId="0" fontId="54" fillId="0" borderId="36" xfId="0" applyFont="1" applyBorder="1" applyAlignment="1">
      <alignment horizontal="left" vertical="center"/>
    </xf>
    <xf numFmtId="0" fontId="57" fillId="0" borderId="0" xfId="0" applyFont="1" applyAlignment="1">
      <alignment horizontal="left" vertical="center"/>
    </xf>
    <xf numFmtId="1" fontId="0" fillId="0" borderId="36" xfId="0" applyNumberFormat="1" applyBorder="1" applyProtection="1">
      <protection locked="0"/>
    </xf>
    <xf numFmtId="1" fontId="1" fillId="0" borderId="36" xfId="0" applyNumberFormat="1" applyFont="1" applyBorder="1" applyProtection="1">
      <protection locked="0"/>
    </xf>
    <xf numFmtId="0" fontId="54" fillId="0" borderId="36" xfId="0" applyFont="1" applyBorder="1" applyAlignment="1">
      <alignment horizontal="left" vertical="center" wrapText="1"/>
    </xf>
    <xf numFmtId="0" fontId="34" fillId="0" borderId="59" xfId="4" applyBorder="1" applyAlignment="1">
      <alignment vertical="center"/>
    </xf>
    <xf numFmtId="0" fontId="58" fillId="0" borderId="36" xfId="0" applyFont="1" applyBorder="1" applyAlignment="1">
      <alignment horizontal="left" vertical="center"/>
    </xf>
    <xf numFmtId="0" fontId="55" fillId="0" borderId="36" xfId="0" applyFont="1" applyBorder="1" applyAlignment="1">
      <alignment horizontal="left" vertical="center"/>
    </xf>
    <xf numFmtId="0" fontId="34" fillId="0" borderId="33" xfId="4" applyBorder="1" applyAlignment="1">
      <alignment vertical="center"/>
    </xf>
    <xf numFmtId="0" fontId="60" fillId="0" borderId="36" xfId="0" applyFont="1" applyBorder="1" applyAlignment="1">
      <alignment horizontal="left" vertical="center"/>
    </xf>
    <xf numFmtId="0" fontId="61" fillId="0" borderId="0" xfId="0" applyFont="1" applyAlignment="1">
      <alignment horizontal="center" vertical="center"/>
    </xf>
    <xf numFmtId="0" fontId="61" fillId="0" borderId="0" xfId="0" applyFont="1" applyAlignment="1">
      <alignment vertical="center"/>
    </xf>
    <xf numFmtId="3" fontId="61" fillId="0" borderId="0" xfId="0" applyNumberFormat="1" applyFont="1" applyAlignment="1">
      <alignment vertical="center"/>
    </xf>
    <xf numFmtId="0" fontId="62" fillId="0" borderId="0" xfId="0" applyFont="1"/>
    <xf numFmtId="0" fontId="34" fillId="7" borderId="0" xfId="0" applyFont="1" applyFill="1"/>
    <xf numFmtId="174" fontId="34" fillId="0" borderId="0" xfId="0" applyNumberFormat="1" applyFont="1"/>
    <xf numFmtId="0" fontId="34" fillId="3" borderId="36" xfId="4" applyFill="1" applyBorder="1" applyAlignment="1">
      <alignment vertical="center"/>
    </xf>
    <xf numFmtId="173" fontId="34" fillId="3" borderId="58" xfId="4" applyNumberFormat="1" applyFill="1" applyBorder="1" applyAlignment="1">
      <alignment vertical="center" wrapText="1"/>
    </xf>
    <xf numFmtId="1" fontId="0" fillId="3" borderId="36" xfId="0" applyNumberFormat="1" applyFill="1" applyBorder="1" applyProtection="1">
      <protection locked="0"/>
    </xf>
    <xf numFmtId="0" fontId="37" fillId="0" borderId="36" xfId="0" applyFont="1" applyBorder="1" applyAlignment="1" applyProtection="1">
      <alignment wrapText="1"/>
      <protection locked="0"/>
    </xf>
    <xf numFmtId="0" fontId="37" fillId="0" borderId="36" xfId="0" applyFont="1" applyBorder="1" applyProtection="1">
      <protection locked="0"/>
    </xf>
    <xf numFmtId="0" fontId="46" fillId="0" borderId="36" xfId="4" applyFont="1" applyBorder="1" applyAlignment="1">
      <alignment vertical="center" wrapText="1"/>
    </xf>
    <xf numFmtId="173" fontId="46" fillId="0" borderId="58" xfId="4" applyNumberFormat="1" applyFont="1" applyBorder="1" applyAlignment="1">
      <alignment vertical="center" wrapText="1"/>
    </xf>
    <xf numFmtId="0" fontId="46" fillId="7" borderId="36" xfId="0" applyFont="1" applyFill="1" applyBorder="1"/>
    <xf numFmtId="173" fontId="46" fillId="0" borderId="36" xfId="4" applyNumberFormat="1" applyFont="1" applyBorder="1" applyAlignment="1">
      <alignment vertical="center" wrapText="1"/>
    </xf>
    <xf numFmtId="0" fontId="34" fillId="9" borderId="59" xfId="4" applyFill="1" applyBorder="1" applyAlignment="1">
      <alignment vertical="center"/>
    </xf>
    <xf numFmtId="177" fontId="34" fillId="9" borderId="0" xfId="1" applyNumberFormat="1" applyFont="1" applyFill="1" applyAlignment="1">
      <alignment vertical="center"/>
    </xf>
    <xf numFmtId="177" fontId="34" fillId="9" borderId="36" xfId="1" applyNumberFormat="1" applyFont="1" applyFill="1" applyBorder="1" applyAlignment="1">
      <alignment vertical="center"/>
    </xf>
    <xf numFmtId="177" fontId="42" fillId="7" borderId="0" xfId="1" applyNumberFormat="1" applyFont="1" applyFill="1"/>
    <xf numFmtId="0" fontId="47" fillId="0" borderId="36" xfId="4" applyFont="1" applyBorder="1" applyAlignment="1">
      <alignment horizontal="center" vertical="center"/>
    </xf>
    <xf numFmtId="0" fontId="0" fillId="0" borderId="0" xfId="0" applyAlignment="1">
      <alignment horizontal="center"/>
    </xf>
    <xf numFmtId="0" fontId="65" fillId="0" borderId="36" xfId="0" applyFont="1" applyBorder="1"/>
    <xf numFmtId="0" fontId="65" fillId="0" borderId="0" xfId="0" applyFont="1"/>
    <xf numFmtId="0" fontId="65" fillId="0" borderId="0" xfId="0" applyFont="1" applyAlignment="1">
      <alignment horizontal="center"/>
    </xf>
    <xf numFmtId="0" fontId="66" fillId="17" borderId="36" xfId="0" applyFont="1" applyFill="1" applyBorder="1" applyAlignment="1">
      <alignment horizontal="center" vertical="center"/>
    </xf>
    <xf numFmtId="0" fontId="67" fillId="0" borderId="0" xfId="0" applyFont="1" applyAlignment="1">
      <alignment vertical="center"/>
    </xf>
    <xf numFmtId="0" fontId="65" fillId="0" borderId="36" xfId="0" applyFont="1" applyBorder="1" applyAlignment="1">
      <alignment wrapText="1"/>
    </xf>
    <xf numFmtId="174" fontId="41" fillId="14" borderId="58" xfId="4" applyNumberFormat="1" applyFont="1" applyFill="1" applyBorder="1" applyAlignment="1">
      <alignment vertical="center" wrapText="1"/>
    </xf>
    <xf numFmtId="0" fontId="42" fillId="3" borderId="0" xfId="0" applyFont="1" applyFill="1"/>
    <xf numFmtId="0" fontId="47" fillId="9" borderId="36" xfId="4" applyFont="1" applyFill="1" applyBorder="1" applyAlignment="1">
      <alignment horizontal="center" vertical="center"/>
    </xf>
    <xf numFmtId="0" fontId="34" fillId="9" borderId="36" xfId="4" applyFill="1" applyBorder="1" applyAlignment="1">
      <alignment vertical="center" wrapText="1"/>
    </xf>
    <xf numFmtId="174" fontId="34" fillId="9" borderId="58" xfId="4" applyNumberFormat="1" applyFill="1" applyBorder="1" applyAlignment="1">
      <alignment vertical="center" wrapText="1"/>
    </xf>
    <xf numFmtId="0" fontId="34" fillId="9" borderId="58" xfId="4" applyFill="1" applyBorder="1" applyAlignment="1">
      <alignment vertical="center" wrapText="1"/>
    </xf>
    <xf numFmtId="0" fontId="34" fillId="3" borderId="59" xfId="4" applyFill="1" applyBorder="1" applyAlignment="1">
      <alignment vertical="center"/>
    </xf>
    <xf numFmtId="0" fontId="47" fillId="9" borderId="60" xfId="4" applyFont="1" applyFill="1" applyBorder="1" applyAlignment="1">
      <alignment horizontal="center" vertical="center"/>
    </xf>
    <xf numFmtId="0" fontId="34" fillId="9" borderId="60" xfId="4" applyFill="1" applyBorder="1" applyAlignment="1">
      <alignment vertical="center"/>
    </xf>
    <xf numFmtId="0" fontId="34" fillId="9" borderId="60" xfId="4" applyFill="1" applyBorder="1" applyAlignment="1">
      <alignment vertical="center" wrapText="1"/>
    </xf>
    <xf numFmtId="174" fontId="34" fillId="9" borderId="61" xfId="4" applyNumberFormat="1" applyFill="1" applyBorder="1" applyAlignment="1">
      <alignment vertical="center" wrapText="1"/>
    </xf>
    <xf numFmtId="0" fontId="41" fillId="0" borderId="62" xfId="4" applyFont="1" applyBorder="1" applyAlignment="1">
      <alignment vertical="center" wrapText="1"/>
    </xf>
    <xf numFmtId="0" fontId="34" fillId="0" borderId="62" xfId="4" applyBorder="1" applyAlignment="1">
      <alignment vertical="center"/>
    </xf>
    <xf numFmtId="0" fontId="34" fillId="0" borderId="62" xfId="4" applyBorder="1" applyAlignment="1">
      <alignment vertical="center" wrapText="1"/>
    </xf>
    <xf numFmtId="173" fontId="34" fillId="0" borderId="63" xfId="4" applyNumberFormat="1" applyBorder="1" applyAlignment="1">
      <alignment vertical="center" wrapText="1"/>
    </xf>
    <xf numFmtId="174" fontId="41" fillId="0" borderId="63" xfId="4" applyNumberFormat="1" applyFont="1" applyBorder="1" applyAlignment="1">
      <alignment vertical="center" wrapText="1"/>
    </xf>
    <xf numFmtId="0" fontId="47" fillId="9" borderId="48" xfId="4" applyFont="1" applyFill="1" applyBorder="1" applyAlignment="1">
      <alignment horizontal="center" vertical="center"/>
    </xf>
    <xf numFmtId="0" fontId="34" fillId="9" borderId="64" xfId="4" applyFill="1" applyBorder="1" applyAlignment="1">
      <alignment vertical="center"/>
    </xf>
    <xf numFmtId="0" fontId="34" fillId="9" borderId="64" xfId="4" applyFill="1" applyBorder="1" applyAlignment="1">
      <alignment vertical="center" wrapText="1"/>
    </xf>
    <xf numFmtId="0" fontId="34" fillId="9" borderId="65" xfId="4" applyFill="1" applyBorder="1" applyAlignment="1">
      <alignment vertical="center" wrapText="1"/>
    </xf>
    <xf numFmtId="174" fontId="34" fillId="9" borderId="49" xfId="4" applyNumberFormat="1" applyFill="1" applyBorder="1" applyAlignment="1">
      <alignment vertical="center" wrapText="1"/>
    </xf>
    <xf numFmtId="0" fontId="34" fillId="0" borderId="58" xfId="4" applyBorder="1" applyAlignment="1">
      <alignment vertical="center"/>
    </xf>
    <xf numFmtId="3" fontId="44" fillId="0" borderId="33" xfId="0" applyNumberFormat="1" applyFont="1" applyBorder="1" applyAlignment="1">
      <alignment vertical="center"/>
    </xf>
    <xf numFmtId="173" fontId="34" fillId="0" borderId="33" xfId="4" applyNumberFormat="1" applyBorder="1" applyAlignment="1">
      <alignment vertical="center" wrapText="1"/>
    </xf>
    <xf numFmtId="0" fontId="0" fillId="0" borderId="33" xfId="0" applyBorder="1" applyProtection="1">
      <protection locked="0"/>
    </xf>
    <xf numFmtId="0" fontId="41" fillId="9" borderId="36" xfId="4" applyFont="1" applyFill="1" applyBorder="1" applyAlignment="1">
      <alignment vertical="center"/>
    </xf>
    <xf numFmtId="174" fontId="34" fillId="9" borderId="36" xfId="4" applyNumberFormat="1" applyFill="1" applyBorder="1" applyAlignment="1">
      <alignment vertical="center"/>
    </xf>
    <xf numFmtId="0" fontId="41" fillId="15" borderId="36" xfId="4" applyFont="1" applyFill="1" applyBorder="1" applyAlignment="1">
      <alignment vertical="center"/>
    </xf>
    <xf numFmtId="0" fontId="41" fillId="15" borderId="36" xfId="4" applyFont="1" applyFill="1" applyBorder="1" applyAlignment="1">
      <alignment vertical="center" wrapText="1"/>
    </xf>
    <xf numFmtId="0" fontId="41" fillId="0" borderId="36" xfId="4" applyFont="1" applyBorder="1" applyAlignment="1">
      <alignment horizontal="right" vertical="center"/>
    </xf>
    <xf numFmtId="0" fontId="34" fillId="0" borderId="36" xfId="4" applyBorder="1" applyAlignment="1">
      <alignment horizontal="left" vertical="center"/>
    </xf>
    <xf numFmtId="173" fontId="34" fillId="9" borderId="58" xfId="4" applyNumberFormat="1" applyFill="1" applyBorder="1" applyAlignment="1">
      <alignment vertical="center" wrapText="1"/>
    </xf>
    <xf numFmtId="174" fontId="41" fillId="9" borderId="58" xfId="4" applyNumberFormat="1" applyFont="1" applyFill="1" applyBorder="1" applyAlignment="1">
      <alignment vertical="center" wrapText="1"/>
    </xf>
    <xf numFmtId="0" fontId="47" fillId="9" borderId="36" xfId="4" applyFont="1" applyFill="1" applyBorder="1" applyAlignment="1">
      <alignment horizontal="center"/>
    </xf>
    <xf numFmtId="0" fontId="34" fillId="9" borderId="36" xfId="4" applyFill="1" applyBorder="1" applyAlignment="1">
      <alignment horizontal="center" vertical="center" wrapText="1"/>
    </xf>
    <xf numFmtId="173" fontId="34" fillId="0" borderId="36" xfId="4" applyNumberFormat="1" applyBorder="1" applyAlignment="1">
      <alignment wrapText="1"/>
    </xf>
    <xf numFmtId="178" fontId="66" fillId="17" borderId="36" xfId="0" applyNumberFormat="1" applyFont="1" applyFill="1" applyBorder="1" applyAlignment="1">
      <alignment horizontal="center" vertical="center"/>
    </xf>
    <xf numFmtId="178" fontId="65" fillId="0" borderId="36" xfId="0" applyNumberFormat="1" applyFont="1" applyBorder="1"/>
    <xf numFmtId="178" fontId="65" fillId="0" borderId="0" xfId="0" applyNumberFormat="1" applyFont="1"/>
    <xf numFmtId="178" fontId="0" fillId="0" borderId="0" xfId="0" applyNumberFormat="1"/>
    <xf numFmtId="173" fontId="41" fillId="15" borderId="36" xfId="4" applyNumberFormat="1" applyFont="1" applyFill="1" applyBorder="1" applyAlignment="1">
      <alignment horizontal="right" vertical="center" wrapText="1"/>
    </xf>
    <xf numFmtId="173" fontId="41" fillId="16" borderId="36" xfId="4" applyNumberFormat="1" applyFont="1" applyFill="1" applyBorder="1" applyAlignment="1">
      <alignment horizontal="right" vertical="center" wrapText="1"/>
    </xf>
    <xf numFmtId="173" fontId="41" fillId="15" borderId="36" xfId="4" applyNumberFormat="1" applyFont="1" applyFill="1" applyBorder="1" applyAlignment="1">
      <alignment vertical="center" wrapText="1"/>
    </xf>
    <xf numFmtId="173" fontId="41" fillId="15" borderId="58" xfId="4" applyNumberFormat="1" applyFont="1" applyFill="1" applyBorder="1" applyAlignment="1">
      <alignment vertical="center" wrapText="1"/>
    </xf>
    <xf numFmtId="173" fontId="41" fillId="15" borderId="58" xfId="4" applyNumberFormat="1" applyFont="1" applyFill="1" applyBorder="1" applyAlignment="1">
      <alignment wrapText="1"/>
    </xf>
    <xf numFmtId="173" fontId="63" fillId="15" borderId="58" xfId="4" applyNumberFormat="1" applyFont="1" applyFill="1" applyBorder="1" applyAlignment="1">
      <alignment vertical="center" wrapText="1"/>
    </xf>
    <xf numFmtId="173" fontId="41" fillId="14" borderId="58" xfId="4" applyNumberFormat="1" applyFont="1" applyFill="1" applyBorder="1" applyAlignment="1">
      <alignment vertical="center" wrapText="1"/>
    </xf>
    <xf numFmtId="0" fontId="38" fillId="8" borderId="0" xfId="0" applyFont="1" applyFill="1"/>
    <xf numFmtId="0" fontId="0" fillId="8" borderId="0" xfId="0" applyFill="1"/>
    <xf numFmtId="0" fontId="38" fillId="8" borderId="0" xfId="0" applyFont="1" applyFill="1" applyAlignment="1">
      <alignment horizontal="center"/>
    </xf>
    <xf numFmtId="0" fontId="52" fillId="8" borderId="0" xfId="0" applyFont="1" applyFill="1" applyAlignment="1">
      <alignment horizontal="center"/>
    </xf>
    <xf numFmtId="178" fontId="68" fillId="18" borderId="36" xfId="1" applyNumberFormat="1" applyFont="1" applyFill="1" applyBorder="1"/>
    <xf numFmtId="173" fontId="41" fillId="3" borderId="58" xfId="4" applyNumberFormat="1" applyFont="1" applyFill="1" applyBorder="1" applyAlignment="1">
      <alignment vertical="center" wrapText="1"/>
    </xf>
    <xf numFmtId="173" fontId="41" fillId="0" borderId="58" xfId="4" applyNumberFormat="1" applyFont="1" applyBorder="1" applyAlignment="1">
      <alignment vertical="center" wrapText="1"/>
    </xf>
    <xf numFmtId="0" fontId="0" fillId="19" borderId="36" xfId="0" applyFill="1" applyBorder="1" applyProtection="1">
      <protection locked="0"/>
    </xf>
    <xf numFmtId="0" fontId="55" fillId="0" borderId="58" xfId="0" applyFont="1" applyBorder="1" applyAlignment="1">
      <alignment horizontal="left" vertical="center"/>
    </xf>
    <xf numFmtId="0" fontId="44" fillId="0" borderId="33" xfId="0" applyFont="1" applyBorder="1" applyAlignment="1">
      <alignment horizontal="center" vertical="center"/>
    </xf>
    <xf numFmtId="1" fontId="0" fillId="0" borderId="33" xfId="0" applyNumberFormat="1" applyBorder="1" applyProtection="1">
      <protection locked="0"/>
    </xf>
    <xf numFmtId="0" fontId="54" fillId="0" borderId="58" xfId="0" applyFont="1" applyBorder="1" applyAlignment="1">
      <alignment horizontal="left" vertical="center"/>
    </xf>
    <xf numFmtId="0" fontId="34" fillId="0" borderId="33" xfId="4" applyBorder="1" applyAlignment="1">
      <alignment vertical="center" wrapText="1"/>
    </xf>
    <xf numFmtId="0" fontId="0" fillId="3" borderId="36" xfId="0" applyFill="1" applyBorder="1" applyProtection="1">
      <protection locked="0"/>
    </xf>
    <xf numFmtId="177" fontId="34" fillId="0" borderId="36" xfId="1" applyNumberFormat="1" applyFont="1" applyFill="1" applyBorder="1" applyAlignment="1">
      <alignment vertical="center" wrapText="1"/>
    </xf>
    <xf numFmtId="0" fontId="34" fillId="3" borderId="36" xfId="4" applyFill="1" applyBorder="1" applyAlignment="1">
      <alignment wrapText="1"/>
    </xf>
    <xf numFmtId="0" fontId="34" fillId="0" borderId="58" xfId="4" applyBorder="1" applyAlignment="1">
      <alignment horizontal="left" vertical="center"/>
    </xf>
    <xf numFmtId="0" fontId="34" fillId="0" borderId="33" xfId="4" applyBorder="1" applyAlignment="1">
      <alignment horizontal="right" vertical="center"/>
    </xf>
    <xf numFmtId="173" fontId="34" fillId="0" borderId="59" xfId="4" applyNumberFormat="1" applyBorder="1" applyAlignment="1">
      <alignment horizontal="right" vertical="center" wrapText="1"/>
    </xf>
    <xf numFmtId="0" fontId="41" fillId="0" borderId="33" xfId="4" applyFont="1" applyBorder="1" applyAlignment="1">
      <alignment vertical="center"/>
    </xf>
    <xf numFmtId="0" fontId="41" fillId="0" borderId="33" xfId="4" applyFont="1" applyBorder="1" applyAlignment="1">
      <alignment vertical="center" wrapText="1"/>
    </xf>
    <xf numFmtId="179" fontId="65" fillId="0" borderId="36" xfId="0" applyNumberFormat="1" applyFont="1" applyBorder="1"/>
    <xf numFmtId="179" fontId="65" fillId="0" borderId="0" xfId="0" applyNumberFormat="1" applyFont="1"/>
    <xf numFmtId="0" fontId="65" fillId="0" borderId="36" xfId="0" applyFont="1" applyBorder="1" applyAlignment="1">
      <alignment horizontal="center" vertical="center"/>
    </xf>
    <xf numFmtId="179" fontId="68" fillId="18" borderId="36" xfId="0" applyNumberFormat="1" applyFont="1" applyFill="1" applyBorder="1"/>
    <xf numFmtId="173" fontId="65" fillId="0" borderId="0" xfId="0" applyNumberFormat="1" applyFont="1"/>
    <xf numFmtId="0" fontId="5" fillId="0" borderId="0" xfId="2" applyFont="1" applyAlignment="1">
      <alignment horizontal="center"/>
    </xf>
    <xf numFmtId="0" fontId="15" fillId="0" borderId="6" xfId="2" applyFont="1" applyBorder="1" applyAlignment="1">
      <alignment horizontal="center" vertical="center"/>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29" fillId="0" borderId="6" xfId="2" applyFont="1" applyBorder="1" applyAlignment="1">
      <alignment horizontal="center" vertical="center"/>
    </xf>
    <xf numFmtId="0" fontId="30" fillId="0" borderId="7" xfId="2" applyFont="1" applyBorder="1" applyAlignment="1">
      <alignment horizontal="center" vertical="center"/>
    </xf>
    <xf numFmtId="0" fontId="30" fillId="0" borderId="8" xfId="2" applyFont="1" applyBorder="1" applyAlignment="1">
      <alignment horizontal="center" vertical="center"/>
    </xf>
    <xf numFmtId="0" fontId="9"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0" xfId="2" applyFont="1" applyAlignment="1">
      <alignment horizontal="center" vertical="center"/>
    </xf>
    <xf numFmtId="0" fontId="3" fillId="0" borderId="5" xfId="2" applyFont="1" applyBorder="1" applyAlignment="1">
      <alignment horizontal="center" vertical="center"/>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0" xfId="2" applyFont="1" applyBorder="1" applyAlignment="1">
      <alignment horizontal="center" vertical="center"/>
    </xf>
    <xf numFmtId="0" fontId="9"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1" xfId="2" applyFont="1" applyBorder="1" applyAlignment="1">
      <alignment horizontal="center" vertical="center" wrapText="1"/>
    </xf>
    <xf numFmtId="0" fontId="9" fillId="0" borderId="12" xfId="2" applyFont="1" applyBorder="1" applyAlignment="1">
      <alignment horizontal="center" vertical="center" wrapText="1"/>
    </xf>
    <xf numFmtId="0" fontId="0" fillId="0" borderId="16" xfId="0" applyBorder="1" applyAlignment="1">
      <alignment horizontal="center" vertical="center" wrapText="1"/>
    </xf>
    <xf numFmtId="0" fontId="9" fillId="2" borderId="12" xfId="2" applyFont="1" applyFill="1" applyBorder="1" applyAlignment="1">
      <alignment horizontal="center" vertical="center" wrapText="1"/>
    </xf>
    <xf numFmtId="0" fontId="3" fillId="0" borderId="32" xfId="2" applyFont="1" applyBorder="1" applyAlignment="1">
      <alignment horizontal="left" vertical="center" wrapText="1"/>
    </xf>
    <xf numFmtId="0" fontId="3" fillId="0" borderId="33" xfId="2" applyFont="1" applyBorder="1" applyAlignment="1">
      <alignment horizontal="left" vertical="center" wrapText="1"/>
    </xf>
    <xf numFmtId="0" fontId="3" fillId="0" borderId="34" xfId="2" applyFont="1" applyBorder="1" applyAlignment="1">
      <alignment horizontal="left" vertical="center" wrapText="1"/>
    </xf>
    <xf numFmtId="0" fontId="69" fillId="0" borderId="1" xfId="0" applyFont="1" applyBorder="1" applyAlignment="1">
      <alignment horizontal="left" vertical="center" wrapText="1"/>
    </xf>
    <xf numFmtId="0" fontId="69" fillId="0" borderId="2" xfId="0" applyFont="1" applyBorder="1" applyAlignment="1">
      <alignment horizontal="left" vertical="center" wrapText="1"/>
    </xf>
    <xf numFmtId="0" fontId="69" fillId="0" borderId="3" xfId="0" applyFont="1" applyBorder="1" applyAlignment="1">
      <alignment horizontal="left" vertical="center" wrapText="1"/>
    </xf>
    <xf numFmtId="0" fontId="34" fillId="0" borderId="32" xfId="2" applyFont="1" applyBorder="1" applyAlignment="1">
      <alignment horizontal="left" vertical="center" wrapText="1"/>
    </xf>
    <xf numFmtId="0" fontId="34" fillId="0" borderId="33" xfId="2" applyFont="1" applyBorder="1" applyAlignment="1">
      <alignment horizontal="left" vertical="center" wrapText="1"/>
    </xf>
    <xf numFmtId="0" fontId="34" fillId="0" borderId="34" xfId="2" applyFont="1" applyBorder="1" applyAlignment="1">
      <alignment horizontal="left" vertical="center" wrapText="1"/>
    </xf>
    <xf numFmtId="0" fontId="9" fillId="0" borderId="32" xfId="2" applyFont="1" applyBorder="1" applyAlignment="1">
      <alignment horizontal="left" vertical="center" wrapText="1"/>
    </xf>
    <xf numFmtId="0" fontId="17" fillId="0" borderId="1" xfId="2" applyFont="1" applyBorder="1" applyAlignment="1">
      <alignment horizontal="left" vertical="top" wrapText="1"/>
    </xf>
    <xf numFmtId="0" fontId="19" fillId="0" borderId="2" xfId="2" applyFont="1" applyBorder="1" applyAlignment="1">
      <alignment horizontal="left" vertical="top" wrapText="1"/>
    </xf>
    <xf numFmtId="0" fontId="19" fillId="0" borderId="3" xfId="2" applyFont="1" applyBorder="1" applyAlignment="1">
      <alignment horizontal="left" vertical="top" wrapText="1"/>
    </xf>
    <xf numFmtId="0" fontId="27" fillId="0" borderId="52" xfId="2" applyFont="1" applyBorder="1" applyAlignment="1">
      <alignment horizontal="left" vertical="center" wrapText="1"/>
    </xf>
    <xf numFmtId="0" fontId="28" fillId="0" borderId="30" xfId="2" applyFont="1" applyBorder="1" applyAlignment="1">
      <alignment horizontal="left" vertical="center" wrapText="1"/>
    </xf>
    <xf numFmtId="0" fontId="28" fillId="0" borderId="53" xfId="2" applyFont="1" applyBorder="1" applyAlignment="1">
      <alignment horizontal="left" vertical="center" wrapText="1"/>
    </xf>
    <xf numFmtId="0" fontId="19" fillId="0" borderId="4" xfId="2" applyFont="1" applyBorder="1" applyAlignment="1">
      <alignment horizontal="left" vertical="top" wrapText="1"/>
    </xf>
    <xf numFmtId="0" fontId="19" fillId="0" borderId="0" xfId="2" applyFont="1" applyAlignment="1">
      <alignment horizontal="left" vertical="top" wrapText="1"/>
    </xf>
    <xf numFmtId="0" fontId="19" fillId="0" borderId="5" xfId="2" applyFont="1" applyBorder="1" applyAlignment="1">
      <alignment horizontal="left" vertical="top" wrapText="1"/>
    </xf>
    <xf numFmtId="0" fontId="24" fillId="0" borderId="43" xfId="2" applyFont="1"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9" fillId="0" borderId="0" xfId="2" applyFont="1" applyAlignment="1">
      <alignment horizontal="left" vertical="center" wrapText="1"/>
    </xf>
    <xf numFmtId="0" fontId="3" fillId="0" borderId="0" xfId="2" applyFont="1" applyAlignment="1">
      <alignment horizontal="left" vertical="center" wrapText="1"/>
    </xf>
    <xf numFmtId="0" fontId="9" fillId="0" borderId="43" xfId="2" applyFont="1" applyBorder="1" applyAlignment="1">
      <alignment horizontal="center" vertical="center"/>
    </xf>
    <xf numFmtId="0" fontId="3" fillId="0" borderId="44" xfId="2" applyFont="1" applyBorder="1" applyAlignment="1">
      <alignment horizontal="center" vertical="center"/>
    </xf>
    <xf numFmtId="0" fontId="3" fillId="0" borderId="45" xfId="2" applyFont="1" applyBorder="1" applyAlignment="1">
      <alignment horizontal="center" vertical="center"/>
    </xf>
    <xf numFmtId="0" fontId="9" fillId="0" borderId="0" xfId="2" applyFont="1" applyAlignment="1">
      <alignment horizontal="left"/>
    </xf>
    <xf numFmtId="0" fontId="64" fillId="3" borderId="30" xfId="0" applyFont="1" applyFill="1" applyBorder="1" applyAlignment="1">
      <alignment horizontal="center" vertical="center"/>
    </xf>
    <xf numFmtId="0" fontId="0" fillId="0" borderId="0" xfId="0" applyAlignment="1">
      <alignment horizontal="center"/>
    </xf>
    <xf numFmtId="0" fontId="65" fillId="18" borderId="58" xfId="0" applyFont="1" applyFill="1" applyBorder="1" applyAlignment="1">
      <alignment horizontal="left"/>
    </xf>
    <xf numFmtId="0" fontId="65" fillId="18" borderId="59" xfId="0" applyFont="1" applyFill="1" applyBorder="1" applyAlignment="1">
      <alignment horizontal="left"/>
    </xf>
    <xf numFmtId="0" fontId="65" fillId="0" borderId="66" xfId="0" applyFont="1" applyBorder="1" applyAlignment="1">
      <alignment horizontal="left"/>
    </xf>
    <xf numFmtId="0" fontId="34" fillId="3" borderId="0" xfId="4" applyFill="1" applyAlignment="1">
      <alignment horizontal="center" vertical="center"/>
    </xf>
    <xf numFmtId="0" fontId="34" fillId="9" borderId="36" xfId="4" applyFill="1" applyBorder="1" applyAlignment="1">
      <alignment horizontal="center" vertical="center"/>
    </xf>
    <xf numFmtId="0" fontId="34" fillId="9" borderId="58" xfId="4" applyFill="1" applyBorder="1" applyAlignment="1">
      <alignment horizontal="center" vertical="center"/>
    </xf>
    <xf numFmtId="0" fontId="34" fillId="9" borderId="33" xfId="4" applyFill="1" applyBorder="1" applyAlignment="1">
      <alignment horizontal="center" vertical="center"/>
    </xf>
    <xf numFmtId="0" fontId="34" fillId="9" borderId="59" xfId="4" applyFill="1" applyBorder="1" applyAlignment="1">
      <alignment horizontal="center" vertical="center"/>
    </xf>
    <xf numFmtId="0" fontId="41" fillId="0" borderId="58" xfId="4" applyFont="1" applyBorder="1" applyAlignment="1">
      <alignment horizontal="left" vertical="center"/>
    </xf>
    <xf numFmtId="0" fontId="41" fillId="0" borderId="33" xfId="4" applyFont="1" applyBorder="1" applyAlignment="1">
      <alignment horizontal="left" vertical="center"/>
    </xf>
    <xf numFmtId="0" fontId="41" fillId="0" borderId="59" xfId="4" applyFont="1" applyBorder="1" applyAlignment="1">
      <alignment horizontal="left" vertical="center"/>
    </xf>
    <xf numFmtId="0" fontId="41" fillId="14" borderId="58" xfId="4" applyFont="1" applyFill="1" applyBorder="1" applyAlignment="1">
      <alignment horizontal="left" vertical="center"/>
    </xf>
    <xf numFmtId="0" fontId="41" fillId="14" borderId="33" xfId="4" applyFont="1" applyFill="1" applyBorder="1" applyAlignment="1">
      <alignment horizontal="left" vertical="center"/>
    </xf>
    <xf numFmtId="0" fontId="41" fillId="14" borderId="59" xfId="4" applyFont="1" applyFill="1" applyBorder="1" applyAlignment="1">
      <alignment horizontal="left" vertical="center"/>
    </xf>
    <xf numFmtId="0" fontId="34" fillId="0" borderId="36" xfId="4" applyBorder="1" applyAlignment="1">
      <alignment horizontal="center" vertical="center"/>
    </xf>
    <xf numFmtId="0" fontId="34" fillId="0" borderId="58" xfId="4" applyBorder="1" applyAlignment="1">
      <alignment horizontal="center" vertical="center"/>
    </xf>
    <xf numFmtId="0" fontId="41" fillId="0" borderId="58" xfId="4" applyFont="1" applyBorder="1" applyAlignment="1">
      <alignment horizontal="center" vertical="center" wrapText="1"/>
    </xf>
    <xf numFmtId="0" fontId="41" fillId="0" borderId="33" xfId="4" applyFont="1" applyBorder="1" applyAlignment="1">
      <alignment horizontal="center" vertical="center" wrapText="1"/>
    </xf>
    <xf numFmtId="0" fontId="41" fillId="0" borderId="59" xfId="4" applyFont="1" applyBorder="1" applyAlignment="1">
      <alignment horizontal="center" vertical="center" wrapText="1"/>
    </xf>
    <xf numFmtId="0" fontId="41" fillId="15" borderId="58" xfId="4" applyFont="1" applyFill="1" applyBorder="1" applyAlignment="1">
      <alignment horizontal="left" vertical="center"/>
    </xf>
    <xf numFmtId="0" fontId="41" fillId="15" borderId="33" xfId="4" applyFont="1" applyFill="1" applyBorder="1" applyAlignment="1">
      <alignment horizontal="left" vertical="center"/>
    </xf>
    <xf numFmtId="0" fontId="41" fillId="15" borderId="59" xfId="4" applyFont="1" applyFill="1" applyBorder="1" applyAlignment="1">
      <alignment horizontal="left" vertical="center"/>
    </xf>
    <xf numFmtId="0" fontId="49" fillId="15" borderId="58" xfId="4" applyFont="1" applyFill="1" applyBorder="1" applyAlignment="1">
      <alignment horizontal="left" vertical="center"/>
    </xf>
    <xf numFmtId="0" fontId="49" fillId="15" borderId="33" xfId="4" applyFont="1" applyFill="1" applyBorder="1" applyAlignment="1">
      <alignment horizontal="left" vertical="center"/>
    </xf>
    <xf numFmtId="0" fontId="49" fillId="15" borderId="59" xfId="4" applyFont="1" applyFill="1" applyBorder="1" applyAlignment="1">
      <alignment horizontal="left" vertical="center"/>
    </xf>
    <xf numFmtId="0" fontId="41" fillId="16" borderId="58" xfId="4" applyFont="1" applyFill="1" applyBorder="1" applyAlignment="1">
      <alignment horizontal="left" vertical="center"/>
    </xf>
    <xf numFmtId="0" fontId="41" fillId="16" borderId="33" xfId="4" applyFont="1" applyFill="1" applyBorder="1" applyAlignment="1">
      <alignment horizontal="left" vertical="center"/>
    </xf>
    <xf numFmtId="0" fontId="41" fillId="16" borderId="59" xfId="4" applyFont="1" applyFill="1" applyBorder="1" applyAlignment="1">
      <alignment horizontal="left" vertical="center"/>
    </xf>
    <xf numFmtId="0" fontId="41" fillId="0" borderId="58" xfId="4" applyFont="1" applyBorder="1" applyAlignment="1">
      <alignment horizontal="center" vertical="center"/>
    </xf>
    <xf numFmtId="0" fontId="41" fillId="0" borderId="33" xfId="4" applyFont="1" applyBorder="1" applyAlignment="1">
      <alignment horizontal="center" vertical="center"/>
    </xf>
    <xf numFmtId="0" fontId="41" fillId="0" borderId="59" xfId="4" applyFont="1" applyBorder="1" applyAlignment="1">
      <alignment horizontal="center" vertical="center"/>
    </xf>
    <xf numFmtId="0" fontId="47" fillId="3" borderId="58" xfId="4" applyFont="1" applyFill="1" applyBorder="1" applyAlignment="1">
      <alignment horizontal="center" vertical="center"/>
    </xf>
    <xf numFmtId="0" fontId="47" fillId="3" borderId="33" xfId="4" applyFont="1" applyFill="1" applyBorder="1" applyAlignment="1">
      <alignment horizontal="center" vertical="center"/>
    </xf>
    <xf numFmtId="0" fontId="47" fillId="3" borderId="59" xfId="4" applyFont="1" applyFill="1" applyBorder="1" applyAlignment="1">
      <alignment horizontal="center" vertical="center"/>
    </xf>
    <xf numFmtId="0" fontId="59" fillId="14" borderId="58" xfId="0" applyFont="1" applyFill="1" applyBorder="1" applyAlignment="1">
      <alignment horizontal="left"/>
    </xf>
    <xf numFmtId="0" fontId="59" fillId="14" borderId="33" xfId="0" applyFont="1" applyFill="1" applyBorder="1" applyAlignment="1">
      <alignment horizontal="left"/>
    </xf>
    <xf numFmtId="0" fontId="59" fillId="14" borderId="59" xfId="0" applyFont="1" applyFill="1" applyBorder="1" applyAlignment="1">
      <alignment horizontal="left"/>
    </xf>
    <xf numFmtId="0" fontId="47" fillId="9" borderId="36" xfId="4" applyFont="1" applyFill="1" applyBorder="1" applyAlignment="1">
      <alignment horizontal="center" vertical="center"/>
    </xf>
    <xf numFmtId="0" fontId="0" fillId="12" borderId="0" xfId="0" applyFill="1" applyAlignment="1">
      <alignment horizontal="center" vertical="center"/>
    </xf>
    <xf numFmtId="0" fontId="48" fillId="0" borderId="18" xfId="0" applyFont="1" applyBorder="1" applyAlignment="1">
      <alignment vertical="center"/>
    </xf>
    <xf numFmtId="0" fontId="48" fillId="0" borderId="20" xfId="0" applyFont="1" applyBorder="1" applyAlignment="1">
      <alignment vertical="center"/>
    </xf>
    <xf numFmtId="0" fontId="50" fillId="11" borderId="43" xfId="0" applyFont="1" applyFill="1" applyBorder="1" applyAlignment="1">
      <alignment horizontal="center" wrapText="1"/>
    </xf>
    <xf numFmtId="0" fontId="50" fillId="11" borderId="44" xfId="0" applyFont="1" applyFill="1" applyBorder="1" applyAlignment="1">
      <alignment horizontal="center" wrapText="1"/>
    </xf>
    <xf numFmtId="0" fontId="39" fillId="11" borderId="0" xfId="0" applyFont="1" applyFill="1" applyAlignment="1">
      <alignment horizontal="center" vertical="center"/>
    </xf>
    <xf numFmtId="0" fontId="39" fillId="11" borderId="19" xfId="0" applyFont="1" applyFill="1" applyBorder="1" applyAlignment="1">
      <alignment horizontal="center" vertical="center"/>
    </xf>
    <xf numFmtId="0" fontId="38" fillId="10" borderId="0" xfId="0" applyFont="1" applyFill="1" applyAlignment="1" applyProtection="1">
      <alignment horizontal="left" vertical="top" wrapText="1"/>
      <protection locked="0"/>
    </xf>
    <xf numFmtId="0" fontId="38" fillId="0" borderId="0" xfId="0" applyFont="1" applyAlignment="1" applyProtection="1">
      <alignment horizontal="left" vertical="center" wrapText="1"/>
      <protection locked="0"/>
    </xf>
    <xf numFmtId="0" fontId="38" fillId="0" borderId="0" xfId="0" applyFont="1" applyAlignment="1" applyProtection="1">
      <alignment vertical="center" wrapText="1"/>
      <protection locked="0"/>
    </xf>
    <xf numFmtId="0" fontId="39" fillId="3" borderId="0" xfId="0" applyFont="1" applyFill="1" applyAlignment="1">
      <alignment horizontal="left" indent="1"/>
    </xf>
    <xf numFmtId="0" fontId="38" fillId="3" borderId="0" xfId="0" applyFont="1" applyFill="1" applyAlignment="1">
      <alignment horizontal="left" vertical="top" wrapText="1"/>
    </xf>
    <xf numFmtId="0" fontId="37" fillId="10" borderId="0" xfId="0" applyFont="1" applyFill="1" applyAlignment="1">
      <alignment horizontal="left" vertical="center" wrapText="1"/>
    </xf>
    <xf numFmtId="0" fontId="38" fillId="10" borderId="0" xfId="0" applyFont="1" applyFill="1" applyAlignment="1">
      <alignment horizontal="left" vertical="top" wrapText="1"/>
    </xf>
    <xf numFmtId="0" fontId="37" fillId="10" borderId="0" xfId="0" applyFont="1" applyFill="1" applyAlignment="1">
      <alignment horizontal="left" vertical="top" wrapText="1"/>
    </xf>
    <xf numFmtId="0" fontId="37" fillId="10" borderId="57" xfId="0" applyFont="1" applyFill="1" applyBorder="1" applyAlignment="1">
      <alignment horizontal="left" vertical="top" wrapText="1"/>
    </xf>
    <xf numFmtId="0" fontId="38" fillId="10" borderId="57" xfId="0" applyFont="1" applyFill="1" applyBorder="1" applyAlignment="1">
      <alignment horizontal="left" vertical="top" wrapText="1"/>
    </xf>
    <xf numFmtId="0" fontId="38" fillId="0" borderId="0" xfId="0" applyFont="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6" fillId="6" borderId="0" xfId="0" applyFont="1" applyFill="1" applyAlignment="1" applyProtection="1">
      <alignment horizontal="center"/>
      <protection locked="0"/>
    </xf>
    <xf numFmtId="0" fontId="37" fillId="0" borderId="0" xfId="0" applyFont="1" applyAlignment="1" applyProtection="1">
      <alignment horizontal="center" vertical="top"/>
      <protection locked="0"/>
    </xf>
  </cellXfs>
  <cellStyles count="7">
    <cellStyle name="Comma 3" xfId="5" xr:uid="{00000000-0005-0000-0000-000000000000}"/>
    <cellStyle name="Comma_Sheet1" xfId="3" xr:uid="{00000000-0005-0000-0000-000001000000}"/>
    <cellStyle name="Normal" xfId="0" builtinId="0"/>
    <cellStyle name="Normal 2" xfId="4" xr:uid="{00000000-0005-0000-0000-000003000000}"/>
    <cellStyle name="Normal_Sheet1" xfId="2" xr:uid="{00000000-0005-0000-0000-000004000000}"/>
    <cellStyle name="Separador de milhares [0]" xfId="6" builtinId="6"/>
    <cellStyle name="Vírgula" xfId="1" builtinId="3"/>
  </cellStyles>
  <dxfs count="20">
    <dxf>
      <fill>
        <patternFill>
          <bgColor rgb="FFEDFFC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92D050"/>
        </patternFill>
      </fill>
    </dxf>
    <dxf>
      <fill>
        <patternFill>
          <bgColor theme="0" tint="-0.34998626667073579"/>
        </patternFill>
      </fill>
    </dxf>
    <dxf>
      <font>
        <color theme="0"/>
      </font>
      <fill>
        <patternFill>
          <bgColor rgb="FFC00000"/>
        </patternFill>
      </fill>
    </dxf>
    <dxf>
      <font>
        <color theme="0"/>
      </font>
      <fill>
        <patternFill>
          <bgColor theme="1"/>
        </patternFill>
      </fill>
    </dxf>
    <dxf>
      <font>
        <color theme="0"/>
      </font>
      <fill>
        <patternFill>
          <bgColor rgb="FF0070C0"/>
        </patternFill>
      </fill>
    </dxf>
  </dxfs>
  <tableStyles count="0" defaultTableStyle="TableStyleMedium2" defaultPivotStyle="PivotStyleLight16"/>
  <colors>
    <mruColors>
      <color rgb="FF00FF00"/>
      <color rgb="FFCCCC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 Id="rId30" Type="http://schemas.openxmlformats.org/officeDocument/2006/relationships/customXml" Target="../customXml/item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152400</xdr:colOff>
      <xdr:row>9</xdr:row>
      <xdr:rowOff>152400</xdr:rowOff>
    </xdr:to>
    <xdr:sp macro="" textlink="">
      <xdr:nvSpPr>
        <xdr:cNvPr id="9217"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762000" y="23145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9</xdr:row>
      <xdr:rowOff>0</xdr:rowOff>
    </xdr:from>
    <xdr:ext cx="152400" cy="152400"/>
    <xdr:sp macro="" textlink="">
      <xdr:nvSpPr>
        <xdr:cNvPr id="3"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300654"/>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152400" cy="152400"/>
    <xdr:sp macro="" textlink="">
      <xdr:nvSpPr>
        <xdr:cNvPr id="4"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309813"/>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152400" cy="152400"/>
    <xdr:sp macro="" textlink="">
      <xdr:nvSpPr>
        <xdr:cNvPr id="5"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309813"/>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152400" cy="152400"/>
    <xdr:sp macro="" textlink="">
      <xdr:nvSpPr>
        <xdr:cNvPr id="6"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309813"/>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152400" cy="152400"/>
    <xdr:sp macro="" textlink="">
      <xdr:nvSpPr>
        <xdr:cNvPr id="7"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262313"/>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152400" cy="152400"/>
    <xdr:sp macro="" textlink="">
      <xdr:nvSpPr>
        <xdr:cNvPr id="8"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881313"/>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152400</xdr:colOff>
      <xdr:row>9</xdr:row>
      <xdr:rowOff>152400</xdr:rowOff>
    </xdr:to>
    <xdr:sp macro="" textlink="">
      <xdr:nvSpPr>
        <xdr:cNvPr id="2"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305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31</xdr:row>
      <xdr:rowOff>0</xdr:rowOff>
    </xdr:from>
    <xdr:ext cx="152400" cy="152400"/>
    <xdr:sp macro="" textlink="">
      <xdr:nvSpPr>
        <xdr:cNvPr id="3"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448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4"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495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5"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68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6"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876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7"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257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8"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067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9"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68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10"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257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11"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305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12"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495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13"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68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14"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067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15"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257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16"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876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152400" cy="152400"/>
    <xdr:sp macro="" textlink="">
      <xdr:nvSpPr>
        <xdr:cNvPr id="17"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448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xdr:row>
      <xdr:rowOff>0</xdr:rowOff>
    </xdr:from>
    <xdr:ext cx="152400" cy="152400"/>
    <xdr:sp macro="" textlink="">
      <xdr:nvSpPr>
        <xdr:cNvPr id="18"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305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xdr:row>
      <xdr:rowOff>0</xdr:rowOff>
    </xdr:from>
    <xdr:ext cx="152400" cy="152400"/>
    <xdr:sp macro="" textlink="">
      <xdr:nvSpPr>
        <xdr:cNvPr id="19"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305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xdr:row>
      <xdr:rowOff>0</xdr:rowOff>
    </xdr:from>
    <xdr:ext cx="152400" cy="152400"/>
    <xdr:sp macro="" textlink="">
      <xdr:nvSpPr>
        <xdr:cNvPr id="20"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495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xdr:row>
      <xdr:rowOff>0</xdr:rowOff>
    </xdr:from>
    <xdr:ext cx="152400" cy="152400"/>
    <xdr:sp macro="" textlink="">
      <xdr:nvSpPr>
        <xdr:cNvPr id="21"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2876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152400" cy="152400"/>
    <xdr:sp macro="" textlink="">
      <xdr:nvSpPr>
        <xdr:cNvPr id="22"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067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152400" cy="152400"/>
    <xdr:sp macro="" textlink="">
      <xdr:nvSpPr>
        <xdr:cNvPr id="23"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448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xdr:row>
      <xdr:rowOff>0</xdr:rowOff>
    </xdr:from>
    <xdr:ext cx="152400" cy="152400"/>
    <xdr:sp macro="" textlink="">
      <xdr:nvSpPr>
        <xdr:cNvPr id="24"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3638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xdr:row>
      <xdr:rowOff>0</xdr:rowOff>
    </xdr:from>
    <xdr:ext cx="152400" cy="152400"/>
    <xdr:sp macro="" textlink="">
      <xdr:nvSpPr>
        <xdr:cNvPr id="25"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4019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xdr:row>
      <xdr:rowOff>0</xdr:rowOff>
    </xdr:from>
    <xdr:ext cx="152400" cy="152400"/>
    <xdr:sp macro="" textlink="">
      <xdr:nvSpPr>
        <xdr:cNvPr id="26"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4210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152400" cy="152400"/>
    <xdr:sp macro="" textlink="">
      <xdr:nvSpPr>
        <xdr:cNvPr id="27"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4591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xdr:row>
      <xdr:rowOff>0</xdr:rowOff>
    </xdr:from>
    <xdr:ext cx="152400" cy="152400"/>
    <xdr:sp macro="" textlink="">
      <xdr:nvSpPr>
        <xdr:cNvPr id="28"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4781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152400" cy="152400"/>
    <xdr:sp macro="" textlink="">
      <xdr:nvSpPr>
        <xdr:cNvPr id="29"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5734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xdr:row>
      <xdr:rowOff>0</xdr:rowOff>
    </xdr:from>
    <xdr:ext cx="152400" cy="152400"/>
    <xdr:sp macro="" textlink="">
      <xdr:nvSpPr>
        <xdr:cNvPr id="30"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59245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38</xdr:row>
      <xdr:rowOff>0</xdr:rowOff>
    </xdr:from>
    <xdr:ext cx="152400" cy="152400"/>
    <xdr:sp macro="" textlink="">
      <xdr:nvSpPr>
        <xdr:cNvPr id="32"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33"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34"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35"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36"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37"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38"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39"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40"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41"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42"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43"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44"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45"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152400" cy="152400"/>
    <xdr:sp macro="" textlink="">
      <xdr:nvSpPr>
        <xdr:cNvPr id="46" name="dimg_3" descr="Ícone &quot;Verificada pela comunidade&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0" y="649605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R48"/>
  <sheetViews>
    <sheetView topLeftCell="E1" zoomScaleNormal="100" workbookViewId="0">
      <selection activeCell="B16" sqref="B16:F16"/>
    </sheetView>
  </sheetViews>
  <sheetFormatPr defaultRowHeight="15.5"/>
  <cols>
    <col min="1" max="1" width="3.5" customWidth="1"/>
    <col min="3" max="3" width="11.58203125" customWidth="1"/>
    <col min="5" max="5" width="24" customWidth="1"/>
    <col min="6" max="6" width="8.75" customWidth="1"/>
    <col min="7" max="7" width="0.33203125" customWidth="1"/>
    <col min="9" max="9" width="8.203125E-2" customWidth="1"/>
    <col min="10" max="13" width="16.58203125" customWidth="1"/>
    <col min="14" max="14" width="0.58203125" customWidth="1"/>
    <col min="15" max="17" width="16.58203125" customWidth="1"/>
    <col min="18" max="18" width="0.5" customWidth="1"/>
  </cols>
  <sheetData>
    <row r="1" spans="2:18" ht="16" thickBot="1"/>
    <row r="2" spans="2:18">
      <c r="B2" s="1"/>
      <c r="C2" s="2"/>
      <c r="D2" s="2"/>
      <c r="E2" s="2"/>
      <c r="F2" s="2"/>
      <c r="G2" s="2"/>
      <c r="H2" s="2"/>
      <c r="I2" s="2"/>
      <c r="J2" s="2"/>
      <c r="K2" s="2"/>
      <c r="L2" s="2"/>
      <c r="M2" s="2"/>
      <c r="N2" s="2"/>
      <c r="O2" s="2"/>
      <c r="P2" s="2"/>
      <c r="Q2" s="3"/>
      <c r="R2" s="4"/>
    </row>
    <row r="3" spans="2:18">
      <c r="B3" s="5" t="s">
        <v>0</v>
      </c>
      <c r="C3" s="6"/>
      <c r="D3" s="6"/>
      <c r="E3" s="6"/>
      <c r="F3" s="6"/>
      <c r="G3" s="7"/>
      <c r="H3" s="7"/>
      <c r="I3" s="7"/>
      <c r="J3" s="8"/>
      <c r="K3" s="463" t="s">
        <v>1</v>
      </c>
      <c r="L3" s="463"/>
      <c r="M3" s="8"/>
      <c r="N3" s="8"/>
      <c r="O3" s="8"/>
      <c r="P3" s="9" t="s">
        <v>454</v>
      </c>
      <c r="Q3" s="10"/>
      <c r="R3" s="11"/>
    </row>
    <row r="4" spans="2:18">
      <c r="B4" s="12"/>
      <c r="C4" s="13"/>
      <c r="D4" s="13"/>
      <c r="E4" s="13"/>
      <c r="F4" s="13"/>
      <c r="G4" s="13"/>
      <c r="H4" s="13"/>
      <c r="I4" s="13"/>
      <c r="J4" s="13"/>
      <c r="K4" s="13"/>
      <c r="L4" s="13"/>
      <c r="M4" s="13"/>
      <c r="N4" s="13"/>
      <c r="O4" s="14"/>
      <c r="P4" s="13"/>
      <c r="Q4" s="15"/>
      <c r="R4" s="16"/>
    </row>
    <row r="5" spans="2:18">
      <c r="B5" s="17" t="s">
        <v>77</v>
      </c>
      <c r="C5" s="14"/>
      <c r="D5" s="24"/>
      <c r="E5" s="14"/>
      <c r="F5" s="167"/>
      <c r="G5" s="13"/>
      <c r="H5" s="13"/>
      <c r="I5" s="13"/>
      <c r="J5" s="14"/>
      <c r="K5" s="14"/>
      <c r="L5" s="18"/>
      <c r="M5" s="14"/>
      <c r="N5" s="13"/>
      <c r="O5" s="14"/>
      <c r="P5" s="19" t="s">
        <v>2</v>
      </c>
      <c r="Q5" s="20"/>
      <c r="R5" s="16"/>
    </row>
    <row r="6" spans="2:18">
      <c r="B6" s="17" t="s">
        <v>70</v>
      </c>
      <c r="C6" s="13"/>
      <c r="D6" s="24"/>
      <c r="E6" s="13"/>
      <c r="F6" s="167"/>
      <c r="G6" s="13"/>
      <c r="H6" s="13"/>
      <c r="I6" s="13"/>
      <c r="J6" s="13"/>
      <c r="K6" s="13"/>
      <c r="L6" s="13"/>
      <c r="M6" s="13"/>
      <c r="N6" s="13"/>
      <c r="O6" s="14"/>
      <c r="P6" s="169" t="s">
        <v>68</v>
      </c>
      <c r="Q6" s="21"/>
      <c r="R6" s="16"/>
    </row>
    <row r="7" spans="2:18">
      <c r="B7" s="22" t="s">
        <v>69</v>
      </c>
      <c r="C7" s="23"/>
      <c r="D7" s="24"/>
      <c r="E7" s="23"/>
      <c r="F7" s="167"/>
      <c r="G7" s="24"/>
      <c r="H7" s="24"/>
      <c r="I7" s="24"/>
      <c r="J7" s="25"/>
      <c r="K7" s="25"/>
      <c r="L7" s="13"/>
      <c r="M7" s="13"/>
      <c r="N7" s="13"/>
      <c r="O7" s="14"/>
      <c r="P7" s="169" t="s">
        <v>3</v>
      </c>
      <c r="Q7" s="15"/>
      <c r="R7" s="16"/>
    </row>
    <row r="8" spans="2:18">
      <c r="B8" s="22" t="s">
        <v>408</v>
      </c>
      <c r="C8" s="23"/>
      <c r="D8" s="24"/>
      <c r="E8" s="20"/>
      <c r="F8" s="167"/>
      <c r="G8" s="13"/>
      <c r="H8" s="13"/>
      <c r="I8" s="13"/>
      <c r="J8" s="26"/>
      <c r="K8" s="26"/>
      <c r="L8" s="13"/>
      <c r="M8" s="13"/>
      <c r="N8" s="13"/>
      <c r="O8" s="14"/>
      <c r="P8" s="169" t="s">
        <v>4</v>
      </c>
      <c r="Q8" s="15"/>
      <c r="R8" s="16"/>
    </row>
    <row r="9" spans="2:18" ht="20.25" customHeight="1">
      <c r="B9" s="22" t="s">
        <v>5</v>
      </c>
      <c r="C9" s="23"/>
      <c r="D9" s="13" t="s">
        <v>409</v>
      </c>
      <c r="E9" s="23"/>
      <c r="F9" s="167"/>
      <c r="G9" s="13"/>
      <c r="H9" s="13"/>
      <c r="I9" s="13"/>
      <c r="J9" s="26"/>
      <c r="K9" s="26"/>
      <c r="L9" s="13"/>
      <c r="M9" s="13"/>
      <c r="N9" s="13"/>
      <c r="O9" s="13"/>
      <c r="P9" s="13"/>
      <c r="Q9" s="15"/>
      <c r="R9" s="16"/>
    </row>
    <row r="10" spans="2:18" ht="16" thickBot="1">
      <c r="B10" s="27"/>
      <c r="C10" s="23"/>
      <c r="D10" s="29"/>
      <c r="E10" s="23"/>
      <c r="F10" s="23"/>
      <c r="G10" s="13"/>
      <c r="H10" s="13"/>
      <c r="I10" s="13"/>
      <c r="J10" s="26"/>
      <c r="K10" s="26"/>
      <c r="L10" s="13"/>
      <c r="M10" s="13"/>
      <c r="N10" s="13"/>
      <c r="O10" s="13"/>
      <c r="P10" s="13"/>
      <c r="Q10" s="15"/>
      <c r="R10" s="16"/>
    </row>
    <row r="11" spans="2:18" ht="19" thickTop="1" thickBot="1">
      <c r="B11" s="28"/>
      <c r="C11" s="29"/>
      <c r="D11" s="29"/>
      <c r="E11" s="29"/>
      <c r="F11" s="294" t="s">
        <v>410</v>
      </c>
      <c r="G11" s="30"/>
      <c r="H11" s="13"/>
      <c r="I11" s="30"/>
      <c r="J11" s="464" t="s">
        <v>6</v>
      </c>
      <c r="K11" s="465"/>
      <c r="L11" s="465"/>
      <c r="M11" s="466"/>
      <c r="N11" s="30"/>
      <c r="O11" s="467" t="s">
        <v>7</v>
      </c>
      <c r="P11" s="468"/>
      <c r="Q11" s="469"/>
      <c r="R11" s="31"/>
    </row>
    <row r="12" spans="2:18" ht="16.5" thickTop="1" thickBot="1">
      <c r="B12" s="27"/>
      <c r="C12" s="23"/>
      <c r="D12" s="23"/>
      <c r="E12" s="23"/>
      <c r="F12" s="23"/>
      <c r="G12" s="13"/>
      <c r="H12" s="13"/>
      <c r="I12" s="13"/>
      <c r="J12" s="26"/>
      <c r="K12" s="26"/>
      <c r="L12" s="13"/>
      <c r="M12" s="13"/>
      <c r="N12" s="13"/>
      <c r="O12" s="13"/>
      <c r="P12" s="13"/>
      <c r="Q12" s="15"/>
      <c r="R12" s="16"/>
    </row>
    <row r="13" spans="2:18" ht="26">
      <c r="B13" s="470" t="s">
        <v>8</v>
      </c>
      <c r="C13" s="471"/>
      <c r="D13" s="471"/>
      <c r="E13" s="471"/>
      <c r="F13" s="472"/>
      <c r="G13" s="170"/>
      <c r="H13" s="479" t="s">
        <v>9</v>
      </c>
      <c r="I13" s="170"/>
      <c r="J13" s="32" t="s">
        <v>10</v>
      </c>
      <c r="K13" s="482" t="s">
        <v>11</v>
      </c>
      <c r="L13" s="484" t="s">
        <v>12</v>
      </c>
      <c r="M13" s="33" t="s">
        <v>13</v>
      </c>
      <c r="N13" s="170"/>
      <c r="O13" s="34" t="s">
        <v>14</v>
      </c>
      <c r="P13" s="35" t="s">
        <v>15</v>
      </c>
      <c r="Q13" s="33" t="s">
        <v>16</v>
      </c>
      <c r="R13" s="171"/>
    </row>
    <row r="14" spans="2:18">
      <c r="B14" s="473"/>
      <c r="C14" s="474"/>
      <c r="D14" s="474"/>
      <c r="E14" s="474"/>
      <c r="F14" s="475"/>
      <c r="G14" s="170"/>
      <c r="H14" s="480"/>
      <c r="I14" s="170"/>
      <c r="J14" s="36" t="s">
        <v>17</v>
      </c>
      <c r="K14" s="483"/>
      <c r="L14" s="483"/>
      <c r="M14" s="37"/>
      <c r="N14" s="38"/>
      <c r="O14" s="36" t="s">
        <v>95</v>
      </c>
      <c r="P14" s="39"/>
      <c r="Q14" s="40"/>
      <c r="R14" s="171"/>
    </row>
    <row r="15" spans="2:18" ht="16" thickBot="1">
      <c r="B15" s="476"/>
      <c r="C15" s="477"/>
      <c r="D15" s="477"/>
      <c r="E15" s="477"/>
      <c r="F15" s="478"/>
      <c r="G15" s="41"/>
      <c r="H15" s="481"/>
      <c r="I15" s="41"/>
      <c r="J15" s="42" t="s">
        <v>18</v>
      </c>
      <c r="K15" s="43" t="s">
        <v>19</v>
      </c>
      <c r="L15" s="44" t="s">
        <v>20</v>
      </c>
      <c r="M15" s="45" t="s">
        <v>21</v>
      </c>
      <c r="N15" s="46"/>
      <c r="O15" s="47" t="s">
        <v>22</v>
      </c>
      <c r="P15" s="48" t="s">
        <v>23</v>
      </c>
      <c r="Q15" s="49" t="s">
        <v>24</v>
      </c>
      <c r="R15" s="50"/>
    </row>
    <row r="16" spans="2:18" ht="62.5" customHeight="1" thickBot="1">
      <c r="B16" s="488" t="s">
        <v>94</v>
      </c>
      <c r="C16" s="489"/>
      <c r="D16" s="489"/>
      <c r="E16" s="489"/>
      <c r="F16" s="490"/>
      <c r="G16" s="51"/>
      <c r="H16" s="52"/>
      <c r="I16" s="51"/>
      <c r="J16" s="53"/>
      <c r="K16" s="54"/>
      <c r="L16" s="55"/>
      <c r="M16" s="56"/>
      <c r="N16" s="51"/>
      <c r="O16" s="172">
        <f>'Orcamento geral'!C20</f>
        <v>117266936</v>
      </c>
      <c r="P16" s="58"/>
      <c r="Q16" s="58"/>
      <c r="R16" s="59"/>
    </row>
    <row r="17" spans="2:18" ht="32.5" customHeight="1">
      <c r="B17" s="491"/>
      <c r="C17" s="492"/>
      <c r="D17" s="492"/>
      <c r="E17" s="492"/>
      <c r="F17" s="493"/>
      <c r="G17" s="51"/>
      <c r="H17" s="52"/>
      <c r="I17" s="51"/>
      <c r="J17" s="60"/>
      <c r="K17" s="61"/>
      <c r="L17" s="62"/>
      <c r="M17" s="63"/>
      <c r="N17" s="51"/>
      <c r="O17" s="57"/>
      <c r="P17" s="58"/>
      <c r="Q17" s="58"/>
      <c r="R17" s="59"/>
    </row>
    <row r="18" spans="2:18" ht="37" customHeight="1">
      <c r="B18" s="491"/>
      <c r="C18" s="492"/>
      <c r="D18" s="492"/>
      <c r="E18" s="492"/>
      <c r="F18" s="493"/>
      <c r="G18" s="51"/>
      <c r="H18" s="64"/>
      <c r="I18" s="51"/>
      <c r="J18" s="60"/>
      <c r="K18" s="61"/>
      <c r="L18" s="62"/>
      <c r="M18" s="63"/>
      <c r="N18" s="65"/>
      <c r="O18" s="57"/>
      <c r="P18" s="58"/>
      <c r="Q18" s="66"/>
      <c r="R18" s="59"/>
    </row>
    <row r="19" spans="2:18">
      <c r="B19" s="491"/>
      <c r="C19" s="492"/>
      <c r="D19" s="492"/>
      <c r="E19" s="492"/>
      <c r="F19" s="493"/>
      <c r="G19" s="51"/>
      <c r="H19" s="64"/>
      <c r="I19" s="51"/>
      <c r="J19" s="60"/>
      <c r="K19" s="61"/>
      <c r="L19" s="62"/>
      <c r="M19" s="63"/>
      <c r="N19" s="65"/>
      <c r="O19" s="67"/>
      <c r="P19" s="58"/>
      <c r="Q19" s="66"/>
      <c r="R19" s="59"/>
    </row>
    <row r="20" spans="2:18">
      <c r="B20" s="494"/>
      <c r="C20" s="486"/>
      <c r="D20" s="486"/>
      <c r="E20" s="486"/>
      <c r="F20" s="487"/>
      <c r="G20" s="51"/>
      <c r="H20" s="64"/>
      <c r="I20" s="51"/>
      <c r="J20" s="60"/>
      <c r="K20" s="61"/>
      <c r="L20" s="62"/>
      <c r="M20" s="63"/>
      <c r="N20" s="65"/>
      <c r="O20" s="67"/>
      <c r="P20" s="58"/>
      <c r="Q20" s="66"/>
      <c r="R20" s="59"/>
    </row>
    <row r="21" spans="2:18">
      <c r="B21" s="485"/>
      <c r="C21" s="486"/>
      <c r="D21" s="486"/>
      <c r="E21" s="486"/>
      <c r="F21" s="487"/>
      <c r="G21" s="51"/>
      <c r="H21" s="64"/>
      <c r="I21" s="51"/>
      <c r="J21" s="60"/>
      <c r="K21" s="61"/>
      <c r="L21" s="62"/>
      <c r="M21" s="63"/>
      <c r="N21" s="65"/>
      <c r="O21" s="67"/>
      <c r="P21" s="58"/>
      <c r="Q21" s="66"/>
      <c r="R21" s="59"/>
    </row>
    <row r="22" spans="2:18" ht="16" thickBot="1">
      <c r="B22" s="485"/>
      <c r="C22" s="486"/>
      <c r="D22" s="486"/>
      <c r="E22" s="486"/>
      <c r="F22" s="487"/>
      <c r="G22" s="51"/>
      <c r="H22" s="69"/>
      <c r="I22" s="51"/>
      <c r="J22" s="70"/>
      <c r="K22" s="71"/>
      <c r="L22" s="72"/>
      <c r="M22" s="73"/>
      <c r="N22" s="74"/>
      <c r="O22" s="75"/>
      <c r="P22" s="58"/>
      <c r="Q22" s="76"/>
      <c r="R22" s="59"/>
    </row>
    <row r="23" spans="2:18" ht="16" thickBot="1">
      <c r="B23" s="504" t="s">
        <v>25</v>
      </c>
      <c r="C23" s="505"/>
      <c r="D23" s="505"/>
      <c r="E23" s="505"/>
      <c r="F23" s="506"/>
      <c r="G23" s="68"/>
      <c r="H23" s="77"/>
      <c r="I23" s="68"/>
      <c r="J23" s="78"/>
      <c r="K23" s="79"/>
      <c r="L23" s="80"/>
      <c r="M23" s="81"/>
      <c r="N23" s="82"/>
      <c r="O23" s="83">
        <f>SUM(O16:O22)</f>
        <v>117266936</v>
      </c>
      <c r="P23" s="58">
        <f>SUM(P16:P22)</f>
        <v>0</v>
      </c>
      <c r="Q23" s="84">
        <f>SUM(Q16:Q22)</f>
        <v>0</v>
      </c>
      <c r="R23" s="85"/>
    </row>
    <row r="24" spans="2:18">
      <c r="B24" s="86"/>
      <c r="C24" s="51"/>
      <c r="D24" s="51"/>
      <c r="E24" s="51"/>
      <c r="F24" s="51"/>
      <c r="G24" s="51"/>
      <c r="H24" s="51"/>
      <c r="I24" s="51"/>
      <c r="J24" s="65"/>
      <c r="K24" s="74"/>
      <c r="L24" s="65"/>
      <c r="M24" s="74"/>
      <c r="N24" s="74"/>
      <c r="O24" s="74"/>
      <c r="P24" s="74"/>
      <c r="Q24" s="87"/>
      <c r="R24" s="59"/>
    </row>
    <row r="25" spans="2:18">
      <c r="B25" s="88" t="s">
        <v>26</v>
      </c>
      <c r="C25" s="13"/>
      <c r="D25" s="13"/>
      <c r="E25" s="13"/>
      <c r="F25" s="13"/>
      <c r="G25" s="13"/>
      <c r="H25" s="13"/>
      <c r="I25" s="13"/>
      <c r="J25" s="13"/>
      <c r="K25" s="168"/>
      <c r="L25" s="89"/>
      <c r="M25" s="13"/>
      <c r="N25" s="13"/>
      <c r="O25" s="13"/>
      <c r="P25" s="13"/>
      <c r="Q25" s="15"/>
      <c r="R25" s="16"/>
    </row>
    <row r="26" spans="2:18">
      <c r="B26" s="17" t="s">
        <v>27</v>
      </c>
      <c r="C26" s="14"/>
      <c r="D26" s="13"/>
      <c r="E26" s="13"/>
      <c r="F26" s="13"/>
      <c r="G26" s="13"/>
      <c r="H26" s="13"/>
      <c r="I26" s="13"/>
      <c r="J26" s="13"/>
      <c r="K26" s="89"/>
      <c r="L26" s="89"/>
      <c r="M26" s="13"/>
      <c r="N26" s="13"/>
      <c r="O26" s="13"/>
      <c r="P26" s="13"/>
      <c r="Q26" s="15"/>
      <c r="R26" s="16"/>
    </row>
    <row r="27" spans="2:18" ht="25">
      <c r="B27" s="90" t="s">
        <v>66</v>
      </c>
      <c r="C27" s="507" t="s">
        <v>28</v>
      </c>
      <c r="D27" s="508"/>
      <c r="E27" s="508"/>
      <c r="F27" s="508"/>
      <c r="G27" s="508"/>
      <c r="H27" s="508"/>
      <c r="I27" s="508"/>
      <c r="J27" s="508"/>
      <c r="K27" s="508"/>
      <c r="L27" s="508"/>
      <c r="M27" s="508"/>
      <c r="N27" s="508"/>
      <c r="O27" s="508"/>
      <c r="P27" s="508"/>
      <c r="Q27" s="508"/>
      <c r="R27" s="16"/>
    </row>
    <row r="28" spans="2:18" ht="25">
      <c r="B28" s="90" t="s">
        <v>29</v>
      </c>
      <c r="C28" s="507" t="s">
        <v>30</v>
      </c>
      <c r="D28" s="508"/>
      <c r="E28" s="508"/>
      <c r="F28" s="508"/>
      <c r="G28" s="508"/>
      <c r="H28" s="508"/>
      <c r="I28" s="508"/>
      <c r="J28" s="508"/>
      <c r="K28" s="508"/>
      <c r="L28" s="508"/>
      <c r="M28" s="508"/>
      <c r="N28" s="508"/>
      <c r="O28" s="508"/>
      <c r="P28" s="508"/>
      <c r="Q28" s="508"/>
      <c r="R28" s="16"/>
    </row>
    <row r="29" spans="2:18">
      <c r="B29" s="17" t="s">
        <v>455</v>
      </c>
      <c r="C29" s="13"/>
      <c r="D29" s="91"/>
      <c r="E29" s="91"/>
      <c r="F29" s="91"/>
      <c r="G29" s="13"/>
      <c r="H29" s="13"/>
      <c r="I29" s="92" t="s">
        <v>31</v>
      </c>
      <c r="J29" s="91" t="s">
        <v>411</v>
      </c>
      <c r="K29" s="91"/>
      <c r="L29" s="166"/>
      <c r="M29" s="512" t="s">
        <v>67</v>
      </c>
      <c r="N29" s="512"/>
      <c r="O29" s="512"/>
      <c r="P29" s="512"/>
      <c r="Q29" s="512"/>
      <c r="R29" s="93"/>
    </row>
    <row r="30" spans="2:18">
      <c r="B30" s="12"/>
      <c r="C30" s="13"/>
      <c r="D30" s="13"/>
      <c r="E30" s="13"/>
      <c r="F30" s="13"/>
      <c r="G30" s="13"/>
      <c r="H30" s="13"/>
      <c r="I30" s="13"/>
      <c r="J30" s="94"/>
      <c r="K30" s="13"/>
      <c r="L30" s="13"/>
      <c r="M30" s="13"/>
      <c r="N30" s="13"/>
      <c r="O30" s="14"/>
      <c r="P30" s="14"/>
      <c r="Q30" s="95"/>
      <c r="R30" s="93"/>
    </row>
    <row r="31" spans="2:18">
      <c r="B31" s="96" t="s">
        <v>32</v>
      </c>
      <c r="C31" s="97" t="s">
        <v>33</v>
      </c>
      <c r="D31" s="98" t="s">
        <v>34</v>
      </c>
      <c r="E31" s="99"/>
      <c r="F31" s="99"/>
      <c r="G31" s="99"/>
      <c r="H31" s="99"/>
      <c r="I31" s="99"/>
      <c r="J31" s="100"/>
      <c r="K31" s="101"/>
      <c r="L31" s="101"/>
      <c r="M31" s="99"/>
      <c r="N31" s="99"/>
      <c r="O31" s="102"/>
      <c r="P31" s="102"/>
      <c r="Q31" s="103"/>
      <c r="R31" s="93"/>
    </row>
    <row r="32" spans="2:18" ht="16" thickBot="1">
      <c r="B32" s="104"/>
      <c r="C32" s="105"/>
      <c r="D32" s="106"/>
      <c r="E32" s="106"/>
      <c r="F32" s="106"/>
      <c r="G32" s="106"/>
      <c r="H32" s="106"/>
      <c r="I32" s="106"/>
      <c r="J32" s="106"/>
      <c r="K32" s="106"/>
      <c r="L32" s="106"/>
      <c r="M32" s="106"/>
      <c r="N32" s="106"/>
      <c r="O32" s="106"/>
      <c r="P32" s="106"/>
      <c r="Q32" s="106"/>
      <c r="R32" s="107"/>
    </row>
    <row r="33" spans="2:18" ht="16" thickTop="1">
      <c r="B33" s="12"/>
      <c r="C33" s="13"/>
      <c r="D33" s="13"/>
      <c r="E33" s="13"/>
      <c r="F33" s="13"/>
      <c r="G33" s="13"/>
      <c r="H33" s="13"/>
      <c r="I33" s="13"/>
      <c r="J33" s="108"/>
      <c r="K33" s="23"/>
      <c r="L33" s="23"/>
      <c r="M33" s="13"/>
      <c r="N33" s="13"/>
      <c r="O33" s="14"/>
      <c r="P33" s="14"/>
      <c r="Q33" s="95"/>
      <c r="R33" s="93"/>
    </row>
    <row r="34" spans="2:18" ht="16" thickBot="1">
      <c r="B34" s="88" t="s">
        <v>35</v>
      </c>
      <c r="C34" s="13"/>
      <c r="D34" s="13"/>
      <c r="E34" s="13"/>
      <c r="F34" s="13"/>
      <c r="G34" s="13"/>
      <c r="H34" s="13"/>
      <c r="I34" s="13"/>
      <c r="J34" s="108"/>
      <c r="K34" s="23"/>
      <c r="L34" s="23"/>
      <c r="M34" s="13"/>
      <c r="N34" s="13"/>
      <c r="O34" s="14"/>
      <c r="P34" s="14"/>
      <c r="Q34" s="95"/>
      <c r="R34" s="93"/>
    </row>
    <row r="35" spans="2:18" ht="16" thickBot="1">
      <c r="B35" s="509" t="s">
        <v>36</v>
      </c>
      <c r="C35" s="510"/>
      <c r="D35" s="510"/>
      <c r="E35" s="510"/>
      <c r="F35" s="511"/>
      <c r="G35" s="109"/>
      <c r="H35" s="109"/>
      <c r="I35" s="509" t="s">
        <v>37</v>
      </c>
      <c r="J35" s="510"/>
      <c r="K35" s="510"/>
      <c r="L35" s="510"/>
      <c r="M35" s="511"/>
      <c r="N35" s="109"/>
      <c r="O35" s="509" t="s">
        <v>38</v>
      </c>
      <c r="P35" s="511"/>
      <c r="Q35" s="30"/>
      <c r="R35" s="110"/>
    </row>
    <row r="36" spans="2:18" ht="16" thickBot="1">
      <c r="B36" s="111" t="s">
        <v>39</v>
      </c>
      <c r="C36" s="112"/>
      <c r="D36" s="112"/>
      <c r="E36" s="112"/>
      <c r="F36" s="113"/>
      <c r="G36" s="14"/>
      <c r="H36" s="14"/>
      <c r="I36" s="111" t="s">
        <v>40</v>
      </c>
      <c r="J36" s="114"/>
      <c r="K36" s="115"/>
      <c r="L36" s="111" t="s">
        <v>41</v>
      </c>
      <c r="M36" s="115"/>
      <c r="N36" s="14"/>
      <c r="O36" s="116" t="s">
        <v>42</v>
      </c>
      <c r="P36" s="117"/>
      <c r="Q36" s="30"/>
      <c r="R36" s="110"/>
    </row>
    <row r="37" spans="2:18">
      <c r="B37" s="139" t="s">
        <v>43</v>
      </c>
      <c r="C37" s="164"/>
      <c r="D37" s="165"/>
      <c r="E37" s="165"/>
      <c r="F37" s="131"/>
      <c r="G37" s="14"/>
      <c r="H37" s="14"/>
      <c r="I37" s="495" t="s">
        <v>44</v>
      </c>
      <c r="J37" s="496"/>
      <c r="K37" s="497"/>
      <c r="L37" s="118" t="s">
        <v>45</v>
      </c>
      <c r="M37" s="119"/>
      <c r="N37" s="14"/>
      <c r="O37" s="120"/>
      <c r="P37" s="119"/>
      <c r="Q37" s="121"/>
      <c r="R37" s="122"/>
    </row>
    <row r="38" spans="2:18" ht="15.75" customHeight="1">
      <c r="B38" s="129"/>
      <c r="C38" s="130"/>
      <c r="D38" s="130"/>
      <c r="E38" s="130"/>
      <c r="F38" s="131"/>
      <c r="G38" s="123"/>
      <c r="H38" s="14"/>
      <c r="I38" s="498" t="s">
        <v>46</v>
      </c>
      <c r="J38" s="499"/>
      <c r="K38" s="500"/>
      <c r="L38" s="124" t="s">
        <v>47</v>
      </c>
      <c r="M38" s="125"/>
      <c r="N38" s="14"/>
      <c r="O38" s="126" t="s">
        <v>48</v>
      </c>
      <c r="P38" s="127">
        <v>0</v>
      </c>
      <c r="Q38" s="128"/>
      <c r="R38" s="127"/>
    </row>
    <row r="39" spans="2:18">
      <c r="B39" s="139" t="s">
        <v>49</v>
      </c>
      <c r="C39" s="163"/>
      <c r="D39" s="158"/>
      <c r="E39" s="158"/>
      <c r="F39" s="131"/>
      <c r="G39" s="123"/>
      <c r="H39" s="14"/>
      <c r="I39" s="501"/>
      <c r="J39" s="502"/>
      <c r="K39" s="503"/>
      <c r="L39" s="132"/>
      <c r="M39" s="133"/>
      <c r="N39" s="14"/>
      <c r="O39" s="134"/>
      <c r="P39" s="135"/>
      <c r="Q39" s="136"/>
      <c r="R39" s="135"/>
    </row>
    <row r="40" spans="2:18">
      <c r="B40" s="129" t="s">
        <v>50</v>
      </c>
      <c r="C40" s="160"/>
      <c r="D40" s="160"/>
      <c r="E40" s="160"/>
      <c r="F40" s="131"/>
      <c r="G40" s="123"/>
      <c r="H40" s="14"/>
      <c r="I40" s="126" t="s">
        <v>51</v>
      </c>
      <c r="J40" s="128"/>
      <c r="K40" s="127"/>
      <c r="L40" s="137" t="s">
        <v>52</v>
      </c>
      <c r="M40" s="135">
        <v>0</v>
      </c>
      <c r="N40" s="14"/>
      <c r="O40" s="138" t="s">
        <v>53</v>
      </c>
      <c r="P40" s="135">
        <v>0</v>
      </c>
      <c r="Q40" s="136"/>
      <c r="R40" s="135"/>
    </row>
    <row r="41" spans="2:18">
      <c r="B41" s="138" t="s">
        <v>54</v>
      </c>
      <c r="C41" s="140"/>
      <c r="D41" s="130"/>
      <c r="E41" s="130"/>
      <c r="F41" s="131"/>
      <c r="G41" s="123"/>
      <c r="H41" s="14"/>
      <c r="I41" s="138" t="s">
        <v>55</v>
      </c>
      <c r="J41" s="136"/>
      <c r="K41" s="135"/>
      <c r="L41" s="138" t="s">
        <v>56</v>
      </c>
      <c r="M41" s="135"/>
      <c r="N41" s="14"/>
      <c r="O41" s="134"/>
      <c r="P41" s="135"/>
      <c r="Q41" s="136"/>
      <c r="R41" s="135"/>
    </row>
    <row r="42" spans="2:18">
      <c r="B42" s="159" t="s">
        <v>57</v>
      </c>
      <c r="C42" s="160"/>
      <c r="D42" s="160"/>
      <c r="E42" s="160"/>
      <c r="F42" s="161"/>
      <c r="G42" s="123"/>
      <c r="H42" s="14"/>
      <c r="I42" s="138" t="s">
        <v>58</v>
      </c>
      <c r="J42" s="136"/>
      <c r="K42" s="135"/>
      <c r="L42" s="138" t="s">
        <v>59</v>
      </c>
      <c r="M42" s="135"/>
      <c r="N42" s="14"/>
      <c r="O42" s="134"/>
      <c r="P42" s="135"/>
      <c r="Q42" s="136"/>
      <c r="R42" s="135"/>
    </row>
    <row r="43" spans="2:18">
      <c r="B43" s="139" t="s">
        <v>60</v>
      </c>
      <c r="C43" s="162"/>
      <c r="D43" s="160"/>
      <c r="E43" s="160"/>
      <c r="F43" s="131"/>
      <c r="G43" s="123"/>
      <c r="H43" s="14"/>
      <c r="I43" s="138" t="s">
        <v>61</v>
      </c>
      <c r="J43" s="136"/>
      <c r="K43" s="135"/>
      <c r="L43" s="138" t="s">
        <v>62</v>
      </c>
      <c r="M43" s="141">
        <v>0</v>
      </c>
      <c r="N43" s="14"/>
      <c r="O43" s="134"/>
      <c r="P43" s="135"/>
      <c r="Q43" s="136"/>
      <c r="R43" s="135"/>
    </row>
    <row r="44" spans="2:18">
      <c r="B44" s="129" t="s">
        <v>63</v>
      </c>
      <c r="C44" s="160"/>
      <c r="D44" s="160"/>
      <c r="E44" s="160"/>
      <c r="F44" s="131"/>
      <c r="G44" s="123"/>
      <c r="H44" s="14"/>
      <c r="I44" s="138" t="s">
        <v>64</v>
      </c>
      <c r="J44" s="136"/>
      <c r="K44" s="142"/>
      <c r="L44" s="134"/>
      <c r="M44" s="142"/>
      <c r="N44" s="14"/>
      <c r="O44" s="134"/>
      <c r="P44" s="142"/>
      <c r="Q44" s="136"/>
      <c r="R44" s="135"/>
    </row>
    <row r="45" spans="2:18" ht="16" thickBot="1">
      <c r="B45" s="138" t="s">
        <v>65</v>
      </c>
      <c r="C45" s="163"/>
      <c r="D45" s="158"/>
      <c r="E45" s="158"/>
      <c r="F45" s="131"/>
      <c r="G45" s="99"/>
      <c r="H45" s="102"/>
      <c r="I45" s="138" t="s">
        <v>25</v>
      </c>
      <c r="J45" s="136"/>
      <c r="K45" s="143"/>
      <c r="L45" s="138" t="s">
        <v>13</v>
      </c>
      <c r="M45" s="143">
        <f>+M40+M43</f>
        <v>0</v>
      </c>
      <c r="N45" s="102"/>
      <c r="O45" s="138" t="s">
        <v>25</v>
      </c>
      <c r="P45" s="143">
        <f>+P39+P43</f>
        <v>0</v>
      </c>
      <c r="Q45" s="136"/>
      <c r="R45" s="135"/>
    </row>
    <row r="46" spans="2:18" ht="16.5" thickTop="1" thickBot="1">
      <c r="B46" s="144"/>
      <c r="C46" s="145"/>
      <c r="D46" s="145"/>
      <c r="E46" s="145"/>
      <c r="F46" s="146"/>
      <c r="G46" s="123"/>
      <c r="H46" s="14"/>
      <c r="I46" s="147"/>
      <c r="J46" s="148"/>
      <c r="K46" s="149"/>
      <c r="L46" s="148"/>
      <c r="M46" s="150"/>
      <c r="N46" s="14"/>
      <c r="O46" s="147"/>
      <c r="P46" s="149"/>
      <c r="Q46" s="151"/>
      <c r="R46" s="152"/>
    </row>
    <row r="47" spans="2:18">
      <c r="B47" s="153"/>
      <c r="C47" s="14"/>
      <c r="D47" s="14"/>
      <c r="E47" s="14"/>
      <c r="F47" s="14"/>
      <c r="G47" s="14"/>
      <c r="H47" s="14"/>
      <c r="I47" s="14"/>
      <c r="J47" s="14"/>
      <c r="K47" s="14"/>
      <c r="L47" s="14"/>
      <c r="M47" s="14"/>
      <c r="N47" s="14"/>
      <c r="O47" s="14"/>
      <c r="P47" s="14"/>
      <c r="Q47" s="95"/>
      <c r="R47" s="93"/>
    </row>
    <row r="48" spans="2:18" ht="16" thickBot="1">
      <c r="B48" s="154"/>
      <c r="C48" s="155"/>
      <c r="D48" s="155"/>
      <c r="E48" s="155"/>
      <c r="F48" s="155"/>
      <c r="G48" s="155"/>
      <c r="H48" s="155"/>
      <c r="I48" s="155"/>
      <c r="J48" s="155"/>
      <c r="K48" s="155"/>
      <c r="L48" s="155"/>
      <c r="M48" s="155"/>
      <c r="N48" s="155"/>
      <c r="O48" s="155"/>
      <c r="P48" s="155"/>
      <c r="Q48" s="156"/>
      <c r="R48" s="157"/>
    </row>
  </sheetData>
  <mergeCells count="24">
    <mergeCell ref="I37:K37"/>
    <mergeCell ref="I38:K38"/>
    <mergeCell ref="I39:K39"/>
    <mergeCell ref="B23:F23"/>
    <mergeCell ref="C27:Q27"/>
    <mergeCell ref="C28:Q28"/>
    <mergeCell ref="B35:F35"/>
    <mergeCell ref="I35:M35"/>
    <mergeCell ref="O35:P35"/>
    <mergeCell ref="M29:Q29"/>
    <mergeCell ref="B22:F22"/>
    <mergeCell ref="B16:F16"/>
    <mergeCell ref="B17:F17"/>
    <mergeCell ref="B18:F18"/>
    <mergeCell ref="B19:F19"/>
    <mergeCell ref="B20:F20"/>
    <mergeCell ref="B21:F21"/>
    <mergeCell ref="K3:L3"/>
    <mergeCell ref="J11:M11"/>
    <mergeCell ref="O11:Q11"/>
    <mergeCell ref="B13:F15"/>
    <mergeCell ref="H13:H15"/>
    <mergeCell ref="K13:K14"/>
    <mergeCell ref="L13:L14"/>
  </mergeCells>
  <conditionalFormatting sqref="B16">
    <cfRule type="cellIs" dxfId="19" priority="1" operator="equal">
      <formula>"Completed"</formula>
    </cfRule>
    <cfRule type="cellIs" dxfId="18" priority="2" operator="equal">
      <formula>"Discontinued"</formula>
    </cfRule>
    <cfRule type="cellIs" dxfId="17" priority="3" operator="equal">
      <formula>"Constrained"</formula>
    </cfRule>
    <cfRule type="cellIs" dxfId="16" priority="4" operator="equal">
      <formula>"Not started"</formula>
    </cfRule>
    <cfRule type="cellIs" dxfId="15" priority="5" operator="equal">
      <formula>"On track"</formula>
    </cfRule>
  </conditionalFormatting>
  <printOptions horizontalCentered="1" verticalCentered="1"/>
  <pageMargins left="0.2" right="0.25" top="0.25" bottom="0.25" header="0.3" footer="0.3"/>
  <pageSetup paperSize="9"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sheetPr>
  <dimension ref="A1:M33"/>
  <sheetViews>
    <sheetView zoomScale="130" zoomScaleNormal="130" workbookViewId="0">
      <pane xSplit="1" ySplit="7" topLeftCell="B16" activePane="bottomRight" state="frozen"/>
      <selection pane="topRight" activeCell="C1" sqref="C1"/>
      <selection pane="bottomLeft" activeCell="A10" sqref="A10"/>
      <selection pane="bottomRight" activeCell="A5" sqref="A5:XFD5"/>
    </sheetView>
  </sheetViews>
  <sheetFormatPr defaultColWidth="10" defaultRowHeight="15.5"/>
  <cols>
    <col min="1" max="1" width="68.83203125" style="307" customWidth="1"/>
    <col min="2" max="2" width="11.5" style="308" customWidth="1"/>
    <col min="3" max="3" width="8.08203125" style="308" customWidth="1"/>
    <col min="4" max="4" width="9.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ht="13.5" customHeight="1">
      <c r="A5" s="295" t="s">
        <v>389</v>
      </c>
      <c r="B5" s="315">
        <f>F22</f>
        <v>1380000</v>
      </c>
      <c r="C5" s="295"/>
      <c r="D5" s="295"/>
      <c r="E5" s="295"/>
      <c r="F5" s="296"/>
      <c r="G5" s="246"/>
      <c r="H5" s="246"/>
      <c r="I5" s="246"/>
      <c r="J5" s="246"/>
      <c r="K5" s="246"/>
      <c r="L5" s="246"/>
      <c r="M5" s="246"/>
    </row>
    <row r="6" spans="1:13" s="245" customFormat="1">
      <c r="A6" s="529" t="s">
        <v>416</v>
      </c>
      <c r="B6" s="529"/>
      <c r="C6" s="529"/>
      <c r="D6" s="529"/>
      <c r="E6" s="530"/>
      <c r="F6" s="298"/>
      <c r="G6" s="520" t="s">
        <v>390</v>
      </c>
      <c r="H6" s="521"/>
      <c r="I6" s="521"/>
      <c r="J6" s="521"/>
      <c r="K6" s="521"/>
      <c r="L6" s="522"/>
      <c r="M6" s="247" t="s">
        <v>391</v>
      </c>
    </row>
    <row r="7" spans="1:13" ht="16.5" customHeight="1">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8">
      <c r="A8" s="392" t="s">
        <v>423</v>
      </c>
      <c r="B8" s="247"/>
      <c r="C8" s="393"/>
      <c r="D8" s="393"/>
      <c r="E8" s="393"/>
      <c r="F8" s="394"/>
      <c r="G8" s="247"/>
      <c r="H8" s="247"/>
      <c r="I8" s="247"/>
      <c r="J8" s="247"/>
      <c r="K8" s="247"/>
      <c r="L8" s="247"/>
      <c r="M8" s="247"/>
    </row>
    <row r="9" spans="1:13" ht="26">
      <c r="A9" s="306" t="s">
        <v>526</v>
      </c>
      <c r="B9" s="299"/>
      <c r="C9" s="300"/>
      <c r="D9" s="299"/>
      <c r="E9" s="344"/>
      <c r="F9" s="305"/>
      <c r="G9" s="247"/>
      <c r="H9" s="247"/>
      <c r="I9" s="247"/>
      <c r="J9" s="247"/>
      <c r="K9" s="247"/>
      <c r="L9" s="247"/>
      <c r="M9" s="247"/>
    </row>
    <row r="10" spans="1:13">
      <c r="A10" s="300" t="s">
        <v>495</v>
      </c>
      <c r="B10" s="299"/>
      <c r="C10" s="300">
        <v>4</v>
      </c>
      <c r="D10" s="299">
        <v>3</v>
      </c>
      <c r="E10" s="344">
        <v>5000</v>
      </c>
      <c r="F10" s="344">
        <f t="shared" ref="F10:F18" si="0">C10*D10*E10</f>
        <v>60000</v>
      </c>
      <c r="G10" s="247"/>
      <c r="H10" s="247"/>
      <c r="I10" s="247"/>
      <c r="J10" s="247"/>
      <c r="K10" s="247"/>
      <c r="L10" s="247"/>
      <c r="M10" s="247"/>
    </row>
    <row r="11" spans="1:13">
      <c r="A11" s="300" t="s">
        <v>496</v>
      </c>
      <c r="B11" s="299"/>
      <c r="C11" s="300">
        <v>4</v>
      </c>
      <c r="D11" s="299">
        <v>3</v>
      </c>
      <c r="E11" s="344">
        <v>15000</v>
      </c>
      <c r="F11" s="344">
        <f t="shared" si="0"/>
        <v>180000</v>
      </c>
      <c r="G11" s="247"/>
      <c r="H11" s="247"/>
      <c r="I11" s="247"/>
      <c r="J11" s="247"/>
      <c r="K11" s="247"/>
      <c r="L11" s="247"/>
      <c r="M11" s="247"/>
    </row>
    <row r="12" spans="1:13">
      <c r="A12" s="299" t="s">
        <v>527</v>
      </c>
      <c r="B12" s="299"/>
      <c r="C12" s="341">
        <v>14</v>
      </c>
      <c r="D12" s="299">
        <v>3</v>
      </c>
      <c r="E12" s="344">
        <v>5000</v>
      </c>
      <c r="F12" s="344">
        <f t="shared" si="0"/>
        <v>210000</v>
      </c>
      <c r="G12" s="247"/>
      <c r="H12" s="247"/>
      <c r="I12" s="247"/>
      <c r="J12" s="247"/>
      <c r="K12" s="247"/>
      <c r="L12" s="247"/>
      <c r="M12" s="247"/>
    </row>
    <row r="13" spans="1:13">
      <c r="A13" s="299" t="s">
        <v>528</v>
      </c>
      <c r="B13" s="299"/>
      <c r="C13" s="341">
        <v>2</v>
      </c>
      <c r="D13" s="299">
        <v>3</v>
      </c>
      <c r="E13" s="344">
        <v>5000</v>
      </c>
      <c r="F13" s="344">
        <f>C13*D13*E13</f>
        <v>30000</v>
      </c>
      <c r="G13" s="247"/>
      <c r="H13" s="247"/>
      <c r="I13" s="247"/>
      <c r="J13" s="247"/>
      <c r="K13" s="247"/>
      <c r="L13" s="247"/>
      <c r="M13" s="247"/>
    </row>
    <row r="14" spans="1:13">
      <c r="A14" s="299" t="s">
        <v>439</v>
      </c>
      <c r="B14" s="299"/>
      <c r="C14" s="341">
        <v>2</v>
      </c>
      <c r="D14" s="299">
        <v>3</v>
      </c>
      <c r="E14" s="344">
        <v>5000</v>
      </c>
      <c r="F14" s="344">
        <f t="shared" si="0"/>
        <v>30000</v>
      </c>
      <c r="G14" s="247"/>
      <c r="H14" s="247"/>
      <c r="I14" s="247"/>
      <c r="J14" s="247"/>
      <c r="K14" s="247"/>
      <c r="L14" s="247"/>
      <c r="M14" s="247"/>
    </row>
    <row r="15" spans="1:13">
      <c r="A15" s="299" t="s">
        <v>497</v>
      </c>
      <c r="B15" s="299"/>
      <c r="C15" s="341">
        <v>2</v>
      </c>
      <c r="D15" s="299">
        <v>3</v>
      </c>
      <c r="E15" s="344">
        <v>5000</v>
      </c>
      <c r="F15" s="344">
        <f t="shared" ref="F15" si="1">C15*D15*E15</f>
        <v>30000</v>
      </c>
      <c r="G15" s="247"/>
      <c r="H15" s="247"/>
      <c r="I15" s="247"/>
      <c r="J15" s="247"/>
      <c r="K15" s="247"/>
      <c r="L15" s="247"/>
      <c r="M15" s="247"/>
    </row>
    <row r="16" spans="1:13">
      <c r="A16" s="299" t="s">
        <v>494</v>
      </c>
      <c r="B16" s="299"/>
      <c r="C16" s="341">
        <v>6</v>
      </c>
      <c r="D16" s="299">
        <v>3</v>
      </c>
      <c r="E16" s="344">
        <v>0</v>
      </c>
      <c r="F16" s="344">
        <f t="shared" si="0"/>
        <v>0</v>
      </c>
      <c r="G16" s="247"/>
      <c r="H16" s="247"/>
      <c r="I16" s="247"/>
      <c r="J16" s="247"/>
      <c r="K16" s="247"/>
      <c r="L16" s="247"/>
      <c r="M16" s="247"/>
    </row>
    <row r="17" spans="1:13">
      <c r="A17" s="299" t="s">
        <v>608</v>
      </c>
      <c r="B17" s="299"/>
      <c r="C17" s="341">
        <v>2</v>
      </c>
      <c r="D17" s="299">
        <v>3</v>
      </c>
      <c r="E17" s="344">
        <v>5000</v>
      </c>
      <c r="F17" s="344">
        <f t="shared" si="0"/>
        <v>30000</v>
      </c>
      <c r="G17" s="247"/>
      <c r="H17" s="247"/>
      <c r="I17" s="247"/>
      <c r="J17" s="247"/>
      <c r="K17" s="247"/>
      <c r="L17" s="247"/>
      <c r="M17" s="247"/>
    </row>
    <row r="18" spans="1:13">
      <c r="A18" s="299" t="s">
        <v>440</v>
      </c>
      <c r="B18" s="299"/>
      <c r="C18" s="341">
        <v>2</v>
      </c>
      <c r="D18" s="299">
        <v>3</v>
      </c>
      <c r="E18" s="344">
        <v>5000</v>
      </c>
      <c r="F18" s="344">
        <f t="shared" si="0"/>
        <v>30000</v>
      </c>
      <c r="G18" s="247"/>
      <c r="H18" s="247"/>
      <c r="I18" s="247"/>
      <c r="J18" s="247"/>
      <c r="K18" s="247"/>
      <c r="L18" s="247"/>
      <c r="M18" s="247"/>
    </row>
    <row r="19" spans="1:13">
      <c r="A19" s="345" t="s">
        <v>441</v>
      </c>
      <c r="B19" s="345"/>
      <c r="C19" s="419">
        <f>SUM(C10:C18)</f>
        <v>38</v>
      </c>
      <c r="D19" s="299">
        <v>3</v>
      </c>
      <c r="E19" s="347">
        <v>10000</v>
      </c>
      <c r="F19" s="344">
        <f>C19*D19*E19</f>
        <v>1140000</v>
      </c>
      <c r="G19" s="247"/>
      <c r="H19" s="247"/>
      <c r="I19" s="247"/>
      <c r="J19" s="247"/>
      <c r="K19" s="247"/>
      <c r="L19" s="247"/>
      <c r="M19" s="247"/>
    </row>
    <row r="20" spans="1:13">
      <c r="A20" s="420" t="s">
        <v>563</v>
      </c>
      <c r="B20" s="345"/>
      <c r="C20" s="346">
        <v>100</v>
      </c>
      <c r="D20" s="346">
        <v>1</v>
      </c>
      <c r="E20" s="347">
        <v>800</v>
      </c>
      <c r="F20" s="344">
        <f t="shared" ref="F20" si="2">C20*D20*E20</f>
        <v>80000</v>
      </c>
      <c r="G20" s="247"/>
      <c r="H20" s="247"/>
      <c r="I20" s="247"/>
      <c r="J20" s="247"/>
      <c r="K20" s="247"/>
      <c r="L20" s="247"/>
      <c r="M20" s="247"/>
    </row>
    <row r="21" spans="1:13">
      <c r="A21" s="420" t="s">
        <v>529</v>
      </c>
      <c r="B21" s="345"/>
      <c r="C21" s="346">
        <v>16</v>
      </c>
      <c r="D21" s="346">
        <v>1</v>
      </c>
      <c r="E21" s="347">
        <v>10000</v>
      </c>
      <c r="F21" s="344">
        <f>C21*D21*E21</f>
        <v>160000</v>
      </c>
      <c r="G21" s="247"/>
      <c r="H21" s="247"/>
      <c r="I21" s="247"/>
      <c r="J21" s="247"/>
      <c r="K21" s="247"/>
      <c r="L21" s="247"/>
      <c r="M21" s="247"/>
    </row>
    <row r="22" spans="1:13">
      <c r="A22" s="534" t="s">
        <v>406</v>
      </c>
      <c r="B22" s="535"/>
      <c r="C22" s="535"/>
      <c r="D22" s="535"/>
      <c r="E22" s="536"/>
      <c r="F22" s="432">
        <f>SUM(F19:F21)</f>
        <v>1380000</v>
      </c>
      <c r="G22" s="247"/>
      <c r="H22" s="247"/>
      <c r="I22" s="247"/>
      <c r="J22" s="247"/>
      <c r="K22" s="247"/>
      <c r="L22" s="247"/>
      <c r="M22" s="247"/>
    </row>
    <row r="23" spans="1:13" s="385" customFormat="1" ht="20.5">
      <c r="A23" s="517" t="s">
        <v>564</v>
      </c>
      <c r="B23" s="517"/>
      <c r="C23" s="428"/>
    </row>
    <row r="24" spans="1:13">
      <c r="D24" s="309"/>
      <c r="F24" s="311"/>
    </row>
    <row r="27" spans="1:13" s="245" customFormat="1">
      <c r="A27" s="295"/>
      <c r="B27" s="295"/>
      <c r="C27" s="295"/>
      <c r="D27" s="295"/>
      <c r="E27" s="295"/>
      <c r="F27" s="296"/>
      <c r="G27" s="246"/>
      <c r="H27" s="246"/>
      <c r="I27" s="246"/>
      <c r="J27" s="246"/>
      <c r="K27" s="246"/>
      <c r="L27" s="246"/>
      <c r="M27" s="246"/>
    </row>
    <row r="28" spans="1:13" ht="26">
      <c r="B28" s="337"/>
      <c r="D28" s="309"/>
      <c r="F28" s="311"/>
    </row>
    <row r="29" spans="1:13" ht="26">
      <c r="B29" s="337"/>
    </row>
    <row r="30" spans="1:13" ht="26">
      <c r="B30" s="337"/>
    </row>
    <row r="31" spans="1:13" ht="26">
      <c r="B31" s="337"/>
    </row>
    <row r="32" spans="1:13" ht="26">
      <c r="B32" s="337"/>
    </row>
    <row r="33" spans="2:2" ht="26">
      <c r="B33" s="338"/>
    </row>
  </sheetData>
  <mergeCells count="5">
    <mergeCell ref="A1:L1"/>
    <mergeCell ref="A6:E6"/>
    <mergeCell ref="G6:L6"/>
    <mergeCell ref="A22:E22"/>
    <mergeCell ref="A23:B23"/>
  </mergeCells>
  <conditionalFormatting sqref="E23">
    <cfRule type="cellIs" dxfId="9" priority="1" stopIfTrue="1" operator="equal">
      <formula>0</formula>
    </cfRule>
  </conditionalFormatting>
  <conditionalFormatting sqref="E27">
    <cfRule type="cellIs" dxfId="8" priority="2" stopIfTrue="1" operator="equal">
      <formula>0</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sheetPr>
  <dimension ref="A1:M55"/>
  <sheetViews>
    <sheetView zoomScale="130" zoomScaleNormal="130" workbookViewId="0">
      <selection activeCell="A5" sqref="A5:XFD5"/>
    </sheetView>
  </sheetViews>
  <sheetFormatPr defaultColWidth="10" defaultRowHeight="15.5"/>
  <cols>
    <col min="1" max="1" width="68.83203125" style="307" customWidth="1"/>
    <col min="2" max="2" width="14.08203125" style="308" bestFit="1" customWidth="1"/>
    <col min="3" max="3" width="8.08203125" style="308" customWidth="1"/>
    <col min="4" max="4" width="9.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344">
        <f>F48</f>
        <v>24219500</v>
      </c>
      <c r="C5" s="295"/>
      <c r="D5" s="295"/>
      <c r="E5" s="295"/>
      <c r="F5" s="296"/>
      <c r="G5" s="246"/>
      <c r="H5" s="246"/>
      <c r="I5" s="246"/>
      <c r="J5" s="246"/>
      <c r="K5" s="246"/>
      <c r="L5" s="246"/>
      <c r="M5" s="246"/>
    </row>
    <row r="6" spans="1:13" s="245" customFormat="1">
      <c r="A6" s="529" t="s">
        <v>416</v>
      </c>
      <c r="B6" s="529"/>
      <c r="C6" s="529"/>
      <c r="D6" s="529"/>
      <c r="E6" s="530"/>
      <c r="F6" s="298"/>
      <c r="G6" s="520" t="s">
        <v>390</v>
      </c>
      <c r="H6" s="521"/>
      <c r="I6" s="521"/>
      <c r="J6" s="521"/>
      <c r="K6" s="521"/>
      <c r="L6" s="522"/>
      <c r="M6" s="247" t="s">
        <v>391</v>
      </c>
    </row>
    <row r="7" spans="1:13" ht="18">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8">
      <c r="A8" s="392" t="s">
        <v>423</v>
      </c>
      <c r="B8" s="247"/>
      <c r="C8" s="393"/>
      <c r="D8" s="393"/>
      <c r="E8" s="393"/>
      <c r="F8" s="394"/>
      <c r="G8" s="247"/>
      <c r="H8" s="247"/>
      <c r="I8" s="247"/>
      <c r="J8" s="247"/>
      <c r="K8" s="247"/>
      <c r="L8" s="247"/>
      <c r="M8" s="247"/>
    </row>
    <row r="9" spans="1:13" ht="26">
      <c r="A9" s="306" t="s">
        <v>493</v>
      </c>
      <c r="B9" s="299"/>
      <c r="C9" s="300"/>
      <c r="D9" s="299"/>
      <c r="E9" s="344"/>
      <c r="F9" s="305"/>
      <c r="G9" s="247"/>
      <c r="H9" s="247"/>
      <c r="I9" s="247"/>
      <c r="J9" s="247"/>
      <c r="K9" s="247"/>
      <c r="L9" s="247"/>
      <c r="M9" s="247"/>
    </row>
    <row r="10" spans="1:13" ht="18" customHeight="1">
      <c r="A10" s="300" t="s">
        <v>535</v>
      </c>
      <c r="B10" s="299" t="s">
        <v>530</v>
      </c>
      <c r="C10" s="300">
        <v>2</v>
      </c>
      <c r="D10" s="299">
        <v>3</v>
      </c>
      <c r="E10" s="344">
        <v>7500</v>
      </c>
      <c r="F10" s="344">
        <f t="shared" ref="F10:F35" si="0">C10*D10*E10</f>
        <v>45000</v>
      </c>
      <c r="G10" s="247"/>
      <c r="H10" s="247"/>
      <c r="I10" s="247"/>
      <c r="J10" s="247"/>
      <c r="K10" s="247"/>
      <c r="L10" s="247"/>
      <c r="M10" s="247"/>
    </row>
    <row r="11" spans="1:13" ht="18" customHeight="1">
      <c r="A11" s="300" t="s">
        <v>536</v>
      </c>
      <c r="B11" s="299" t="s">
        <v>530</v>
      </c>
      <c r="C11" s="300">
        <v>26</v>
      </c>
      <c r="D11" s="299">
        <v>4</v>
      </c>
      <c r="E11" s="344">
        <v>10000</v>
      </c>
      <c r="F11" s="344">
        <f t="shared" si="0"/>
        <v>1040000</v>
      </c>
      <c r="G11" s="247"/>
      <c r="H11" s="247"/>
      <c r="I11" s="247"/>
      <c r="J11" s="247"/>
      <c r="K11" s="247"/>
      <c r="L11" s="247"/>
      <c r="M11" s="247"/>
    </row>
    <row r="12" spans="1:13" ht="18" customHeight="1">
      <c r="A12" s="300" t="s">
        <v>566</v>
      </c>
      <c r="B12" s="299" t="s">
        <v>530</v>
      </c>
      <c r="C12" s="300">
        <v>13</v>
      </c>
      <c r="D12" s="299">
        <v>3</v>
      </c>
      <c r="E12" s="344">
        <v>7500</v>
      </c>
      <c r="F12" s="344">
        <f t="shared" si="0"/>
        <v>292500</v>
      </c>
      <c r="G12" s="247"/>
      <c r="H12" s="247"/>
      <c r="I12" s="247"/>
      <c r="J12" s="247"/>
      <c r="K12" s="247"/>
      <c r="L12" s="247"/>
      <c r="M12" s="247"/>
    </row>
    <row r="13" spans="1:13" ht="18" customHeight="1">
      <c r="A13" s="300" t="s">
        <v>531</v>
      </c>
      <c r="B13" s="299" t="s">
        <v>530</v>
      </c>
      <c r="C13" s="300">
        <v>2</v>
      </c>
      <c r="D13" s="299">
        <v>3</v>
      </c>
      <c r="E13" s="344">
        <v>7500</v>
      </c>
      <c r="F13" s="344">
        <f t="shared" si="0"/>
        <v>45000</v>
      </c>
      <c r="G13" s="247"/>
      <c r="H13" s="247"/>
      <c r="I13" s="247"/>
      <c r="J13" s="247"/>
      <c r="K13" s="247"/>
      <c r="L13" s="247"/>
      <c r="M13" s="247"/>
    </row>
    <row r="14" spans="1:13" ht="18" customHeight="1">
      <c r="A14" s="300" t="s">
        <v>532</v>
      </c>
      <c r="B14" s="299" t="s">
        <v>530</v>
      </c>
      <c r="C14" s="300">
        <v>20</v>
      </c>
      <c r="D14" s="299">
        <v>4</v>
      </c>
      <c r="E14" s="344">
        <v>10000</v>
      </c>
      <c r="F14" s="344">
        <f t="shared" si="0"/>
        <v>800000</v>
      </c>
      <c r="G14" s="247"/>
      <c r="H14" s="247"/>
      <c r="I14" s="247"/>
      <c r="J14" s="247"/>
      <c r="K14" s="247"/>
      <c r="L14" s="247"/>
      <c r="M14" s="247"/>
    </row>
    <row r="15" spans="1:13" ht="18" customHeight="1">
      <c r="A15" s="300" t="s">
        <v>567</v>
      </c>
      <c r="B15" s="299" t="s">
        <v>530</v>
      </c>
      <c r="C15" s="300">
        <v>13</v>
      </c>
      <c r="D15" s="299">
        <v>3</v>
      </c>
      <c r="E15" s="344">
        <v>7500</v>
      </c>
      <c r="F15" s="344">
        <f t="shared" si="0"/>
        <v>292500</v>
      </c>
      <c r="G15" s="247"/>
      <c r="H15" s="247"/>
      <c r="I15" s="247"/>
      <c r="J15" s="247"/>
      <c r="K15" s="247"/>
      <c r="L15" s="247"/>
      <c r="M15" s="247"/>
    </row>
    <row r="16" spans="1:13" ht="18" customHeight="1">
      <c r="A16" s="300" t="s">
        <v>533</v>
      </c>
      <c r="B16" s="299" t="s">
        <v>530</v>
      </c>
      <c r="C16" s="300">
        <v>2</v>
      </c>
      <c r="D16" s="299">
        <v>3</v>
      </c>
      <c r="E16" s="344">
        <v>7500</v>
      </c>
      <c r="F16" s="344">
        <f t="shared" ref="F16:F18" si="1">C16*D16*E16</f>
        <v>45000</v>
      </c>
      <c r="G16" s="247"/>
      <c r="H16" s="247"/>
      <c r="I16" s="247"/>
      <c r="J16" s="247"/>
      <c r="K16" s="247"/>
      <c r="L16" s="247"/>
      <c r="M16" s="247"/>
    </row>
    <row r="17" spans="1:13" ht="18" customHeight="1">
      <c r="A17" s="300" t="s">
        <v>534</v>
      </c>
      <c r="B17" s="299" t="s">
        <v>530</v>
      </c>
      <c r="C17" s="300">
        <v>18</v>
      </c>
      <c r="D17" s="299">
        <v>4</v>
      </c>
      <c r="E17" s="344">
        <v>10000</v>
      </c>
      <c r="F17" s="344">
        <f t="shared" si="1"/>
        <v>720000</v>
      </c>
      <c r="G17" s="247"/>
      <c r="H17" s="247"/>
      <c r="I17" s="247"/>
      <c r="J17" s="247"/>
      <c r="K17" s="247"/>
      <c r="L17" s="247"/>
      <c r="M17" s="247"/>
    </row>
    <row r="18" spans="1:13" ht="18" customHeight="1">
      <c r="A18" s="300" t="s">
        <v>568</v>
      </c>
      <c r="B18" s="299" t="s">
        <v>530</v>
      </c>
      <c r="C18" s="300">
        <v>13</v>
      </c>
      <c r="D18" s="299">
        <v>3</v>
      </c>
      <c r="E18" s="344">
        <v>7500</v>
      </c>
      <c r="F18" s="344">
        <f t="shared" si="1"/>
        <v>292500</v>
      </c>
      <c r="G18" s="247"/>
      <c r="H18" s="247"/>
      <c r="I18" s="247"/>
      <c r="J18" s="247"/>
      <c r="K18" s="247"/>
      <c r="L18" s="247"/>
      <c r="M18" s="247"/>
    </row>
    <row r="19" spans="1:13" ht="18" customHeight="1">
      <c r="A19" s="300" t="s">
        <v>538</v>
      </c>
      <c r="B19" s="299" t="s">
        <v>530</v>
      </c>
      <c r="C19" s="300">
        <v>2</v>
      </c>
      <c r="D19" s="299">
        <v>3</v>
      </c>
      <c r="E19" s="344">
        <v>7500</v>
      </c>
      <c r="F19" s="344">
        <f t="shared" ref="F19:F21" si="2">C19*D19*E19</f>
        <v>45000</v>
      </c>
      <c r="G19" s="247"/>
      <c r="H19" s="247"/>
      <c r="I19" s="247"/>
      <c r="J19" s="247"/>
      <c r="K19" s="247"/>
      <c r="L19" s="247"/>
      <c r="M19" s="247"/>
    </row>
    <row r="20" spans="1:13" ht="18" customHeight="1">
      <c r="A20" s="300" t="s">
        <v>537</v>
      </c>
      <c r="B20" s="299" t="s">
        <v>530</v>
      </c>
      <c r="C20" s="300">
        <v>8</v>
      </c>
      <c r="D20" s="299">
        <v>4</v>
      </c>
      <c r="E20" s="344">
        <v>10000</v>
      </c>
      <c r="F20" s="344">
        <f t="shared" si="2"/>
        <v>320000</v>
      </c>
      <c r="G20" s="247"/>
      <c r="H20" s="247"/>
      <c r="I20" s="247"/>
      <c r="J20" s="247"/>
      <c r="K20" s="247"/>
      <c r="L20" s="247"/>
      <c r="M20" s="247"/>
    </row>
    <row r="21" spans="1:13" ht="18" customHeight="1">
      <c r="A21" s="300" t="s">
        <v>569</v>
      </c>
      <c r="B21" s="299" t="s">
        <v>530</v>
      </c>
      <c r="C21" s="300">
        <v>13</v>
      </c>
      <c r="D21" s="299">
        <v>3</v>
      </c>
      <c r="E21" s="344">
        <v>7500</v>
      </c>
      <c r="F21" s="344">
        <f t="shared" si="2"/>
        <v>292500</v>
      </c>
      <c r="G21" s="247"/>
      <c r="H21" s="247"/>
      <c r="I21" s="247"/>
      <c r="J21" s="247"/>
      <c r="K21" s="247"/>
      <c r="L21" s="247"/>
      <c r="M21" s="247"/>
    </row>
    <row r="22" spans="1:13" ht="18" customHeight="1">
      <c r="A22" s="300" t="s">
        <v>539</v>
      </c>
      <c r="B22" s="299" t="s">
        <v>530</v>
      </c>
      <c r="C22" s="300">
        <v>2</v>
      </c>
      <c r="D22" s="299">
        <v>3</v>
      </c>
      <c r="E22" s="344">
        <v>7500</v>
      </c>
      <c r="F22" s="344">
        <f t="shared" ref="F22:F26" si="3">C22*D22*E22</f>
        <v>45000</v>
      </c>
      <c r="G22" s="247"/>
      <c r="H22" s="247"/>
      <c r="I22" s="247"/>
      <c r="J22" s="247"/>
      <c r="K22" s="247"/>
      <c r="L22" s="247"/>
      <c r="M22" s="247"/>
    </row>
    <row r="23" spans="1:13" ht="18" customHeight="1">
      <c r="A23" s="300" t="s">
        <v>540</v>
      </c>
      <c r="B23" s="299" t="s">
        <v>530</v>
      </c>
      <c r="C23" s="300">
        <v>18</v>
      </c>
      <c r="D23" s="299">
        <v>4</v>
      </c>
      <c r="E23" s="344">
        <v>10000</v>
      </c>
      <c r="F23" s="344">
        <f t="shared" si="3"/>
        <v>720000</v>
      </c>
      <c r="G23" s="247"/>
      <c r="H23" s="247"/>
      <c r="I23" s="247"/>
      <c r="J23" s="247"/>
      <c r="K23" s="247"/>
      <c r="L23" s="247"/>
      <c r="M23" s="247"/>
    </row>
    <row r="24" spans="1:13" ht="18" customHeight="1">
      <c r="A24" s="300" t="s">
        <v>570</v>
      </c>
      <c r="B24" s="299" t="s">
        <v>530</v>
      </c>
      <c r="C24" s="300">
        <v>13</v>
      </c>
      <c r="D24" s="299">
        <v>3</v>
      </c>
      <c r="E24" s="344">
        <v>7500</v>
      </c>
      <c r="F24" s="344">
        <f t="shared" si="3"/>
        <v>292500</v>
      </c>
      <c r="G24" s="247"/>
      <c r="H24" s="247"/>
      <c r="I24" s="247"/>
      <c r="J24" s="247"/>
      <c r="K24" s="247"/>
      <c r="L24" s="247"/>
      <c r="M24" s="247"/>
    </row>
    <row r="25" spans="1:13" ht="18" customHeight="1">
      <c r="A25" s="300" t="s">
        <v>544</v>
      </c>
      <c r="B25" s="299" t="s">
        <v>530</v>
      </c>
      <c r="C25" s="300">
        <v>44</v>
      </c>
      <c r="D25" s="299">
        <v>3</v>
      </c>
      <c r="E25" s="344">
        <v>7500</v>
      </c>
      <c r="F25" s="344">
        <f t="shared" si="3"/>
        <v>990000</v>
      </c>
      <c r="G25" s="247"/>
      <c r="H25" s="247"/>
      <c r="I25" s="247"/>
      <c r="J25" s="247"/>
      <c r="K25" s="247"/>
      <c r="L25" s="247"/>
      <c r="M25" s="247"/>
    </row>
    <row r="26" spans="1:13" ht="18" customHeight="1">
      <c r="A26" s="300" t="s">
        <v>571</v>
      </c>
      <c r="B26" s="299" t="s">
        <v>530</v>
      </c>
      <c r="C26" s="300">
        <v>13</v>
      </c>
      <c r="D26" s="299">
        <v>3</v>
      </c>
      <c r="E26" s="344">
        <v>7500</v>
      </c>
      <c r="F26" s="344">
        <f t="shared" si="3"/>
        <v>292500</v>
      </c>
      <c r="G26" s="247"/>
      <c r="H26" s="247"/>
      <c r="I26" s="247"/>
      <c r="J26" s="247"/>
      <c r="K26" s="247"/>
      <c r="L26" s="247"/>
      <c r="M26" s="247"/>
    </row>
    <row r="27" spans="1:13" ht="18" customHeight="1">
      <c r="A27" s="300" t="s">
        <v>541</v>
      </c>
      <c r="B27" s="299" t="s">
        <v>530</v>
      </c>
      <c r="C27" s="300">
        <v>2</v>
      </c>
      <c r="D27" s="299">
        <v>3</v>
      </c>
      <c r="E27" s="344">
        <v>7500</v>
      </c>
      <c r="F27" s="344">
        <f t="shared" ref="F27:F29" si="4">C27*D27*E27</f>
        <v>45000</v>
      </c>
      <c r="G27" s="247"/>
      <c r="H27" s="247"/>
      <c r="I27" s="247"/>
      <c r="J27" s="247"/>
      <c r="K27" s="247"/>
      <c r="L27" s="247"/>
      <c r="M27" s="247"/>
    </row>
    <row r="28" spans="1:13" ht="18" customHeight="1">
      <c r="A28" s="300" t="s">
        <v>542</v>
      </c>
      <c r="B28" s="299" t="s">
        <v>530</v>
      </c>
      <c r="C28" s="300">
        <v>38</v>
      </c>
      <c r="D28" s="299">
        <v>3</v>
      </c>
      <c r="E28" s="344">
        <v>10000</v>
      </c>
      <c r="F28" s="344">
        <f t="shared" si="4"/>
        <v>1140000</v>
      </c>
      <c r="G28" s="247"/>
      <c r="H28" s="247"/>
      <c r="I28" s="247"/>
      <c r="J28" s="247"/>
      <c r="K28" s="247"/>
      <c r="L28" s="247"/>
      <c r="M28" s="247"/>
    </row>
    <row r="29" spans="1:13" ht="18" customHeight="1">
      <c r="A29" s="300" t="s">
        <v>543</v>
      </c>
      <c r="B29" s="299" t="s">
        <v>530</v>
      </c>
      <c r="C29" s="300">
        <v>13</v>
      </c>
      <c r="D29" s="299">
        <v>3</v>
      </c>
      <c r="E29" s="344">
        <v>7500</v>
      </c>
      <c r="F29" s="344">
        <f t="shared" si="4"/>
        <v>292500</v>
      </c>
      <c r="G29" s="247"/>
      <c r="H29" s="247"/>
      <c r="I29" s="247"/>
      <c r="J29" s="247"/>
      <c r="K29" s="247"/>
      <c r="L29" s="247"/>
      <c r="M29" s="247"/>
    </row>
    <row r="30" spans="1:13" ht="18" customHeight="1">
      <c r="A30" s="300" t="s">
        <v>548</v>
      </c>
      <c r="B30" s="299" t="s">
        <v>530</v>
      </c>
      <c r="C30" s="300">
        <f>2*4</f>
        <v>8</v>
      </c>
      <c r="D30" s="299">
        <v>5</v>
      </c>
      <c r="E30" s="344">
        <v>30000</v>
      </c>
      <c r="F30" s="344">
        <f t="shared" si="0"/>
        <v>1200000</v>
      </c>
      <c r="G30" s="247"/>
      <c r="H30" s="247"/>
      <c r="I30" s="247"/>
      <c r="J30" s="247"/>
      <c r="K30" s="247"/>
      <c r="L30" s="247"/>
      <c r="M30" s="247"/>
    </row>
    <row r="31" spans="1:13" ht="18" customHeight="1">
      <c r="A31" s="300" t="s">
        <v>549</v>
      </c>
      <c r="B31" s="299" t="s">
        <v>530</v>
      </c>
      <c r="C31" s="300">
        <v>3</v>
      </c>
      <c r="D31" s="299">
        <v>5</v>
      </c>
      <c r="E31" s="344">
        <v>30000</v>
      </c>
      <c r="F31" s="344">
        <f t="shared" si="0"/>
        <v>450000</v>
      </c>
      <c r="G31" s="247"/>
      <c r="H31" s="247"/>
      <c r="I31" s="247"/>
      <c r="J31" s="247"/>
      <c r="K31" s="247"/>
      <c r="L31" s="247"/>
      <c r="M31" s="247"/>
    </row>
    <row r="32" spans="1:13" ht="18" customHeight="1">
      <c r="A32" s="300" t="s">
        <v>545</v>
      </c>
      <c r="B32" s="299" t="s">
        <v>530</v>
      </c>
      <c r="C32" s="300">
        <f>2*2</f>
        <v>4</v>
      </c>
      <c r="D32" s="299">
        <v>3</v>
      </c>
      <c r="E32" s="344">
        <v>30000</v>
      </c>
      <c r="F32" s="344">
        <f t="shared" ref="F32" si="5">C32*D32*E32</f>
        <v>360000</v>
      </c>
      <c r="G32" s="247"/>
      <c r="H32" s="247"/>
      <c r="I32" s="247"/>
      <c r="J32" s="247"/>
      <c r="K32" s="247"/>
      <c r="L32" s="247"/>
      <c r="M32" s="247"/>
    </row>
    <row r="33" spans="1:13" ht="18" customHeight="1">
      <c r="A33" s="300" t="s">
        <v>546</v>
      </c>
      <c r="B33" s="299" t="s">
        <v>530</v>
      </c>
      <c r="C33" s="300">
        <v>1</v>
      </c>
      <c r="D33" s="299">
        <v>3</v>
      </c>
      <c r="E33" s="344">
        <v>30000</v>
      </c>
      <c r="F33" s="344">
        <f t="shared" si="0"/>
        <v>90000</v>
      </c>
      <c r="G33" s="276"/>
      <c r="H33" s="247"/>
      <c r="I33" s="247"/>
      <c r="J33" s="247"/>
      <c r="K33" s="247"/>
      <c r="L33" s="247"/>
      <c r="M33" s="247"/>
    </row>
    <row r="34" spans="1:13" ht="18" customHeight="1">
      <c r="A34" s="300" t="s">
        <v>547</v>
      </c>
      <c r="B34" s="299" t="s">
        <v>530</v>
      </c>
      <c r="C34" s="300">
        <v>2</v>
      </c>
      <c r="D34" s="299">
        <v>9</v>
      </c>
      <c r="E34" s="344">
        <v>30000</v>
      </c>
      <c r="F34" s="344">
        <f t="shared" si="0"/>
        <v>540000</v>
      </c>
      <c r="G34" s="276"/>
      <c r="H34" s="247"/>
      <c r="I34" s="247"/>
      <c r="J34" s="247"/>
      <c r="K34" s="247"/>
      <c r="L34" s="247"/>
      <c r="M34" s="247"/>
    </row>
    <row r="35" spans="1:13" ht="18" customHeight="1">
      <c r="A35" s="300" t="s">
        <v>407</v>
      </c>
      <c r="B35" s="299" t="s">
        <v>530</v>
      </c>
      <c r="C35" s="300">
        <f>SUM(C10:C34)</f>
        <v>293</v>
      </c>
      <c r="D35" s="299">
        <v>3</v>
      </c>
      <c r="E35" s="344">
        <v>10000</v>
      </c>
      <c r="F35" s="344">
        <f t="shared" si="0"/>
        <v>8790000</v>
      </c>
      <c r="G35" s="282"/>
      <c r="H35" s="247"/>
      <c r="I35" s="247"/>
      <c r="J35" s="247"/>
      <c r="K35" s="247"/>
      <c r="L35" s="247"/>
      <c r="M35" s="247"/>
    </row>
    <row r="36" spans="1:13" ht="18" customHeight="1">
      <c r="A36" s="300" t="s">
        <v>496</v>
      </c>
      <c r="B36" s="299" t="s">
        <v>530</v>
      </c>
      <c r="C36" s="300">
        <f>C30+C32+C34</f>
        <v>14</v>
      </c>
      <c r="D36" s="299">
        <v>3</v>
      </c>
      <c r="E36" s="344">
        <v>15000</v>
      </c>
      <c r="F36" s="344">
        <f t="shared" ref="F36" si="6">C36*D36*E36</f>
        <v>630000</v>
      </c>
      <c r="G36" s="282"/>
      <c r="H36" s="247"/>
      <c r="I36" s="247"/>
      <c r="J36" s="247"/>
      <c r="K36" s="247"/>
      <c r="L36" s="247"/>
      <c r="M36" s="247"/>
    </row>
    <row r="37" spans="1:13" ht="18" customHeight="1">
      <c r="A37" s="534" t="s">
        <v>403</v>
      </c>
      <c r="B37" s="535"/>
      <c r="C37" s="535"/>
      <c r="D37" s="535"/>
      <c r="E37" s="536"/>
      <c r="F37" s="432">
        <f>SUM(F10:F36)</f>
        <v>20107500</v>
      </c>
      <c r="G37" s="282"/>
      <c r="H37" s="247"/>
      <c r="I37" s="247"/>
      <c r="J37" s="247"/>
      <c r="K37" s="247"/>
      <c r="L37" s="247"/>
      <c r="M37" s="247"/>
    </row>
    <row r="38" spans="1:13" ht="18" customHeight="1">
      <c r="A38" s="543" t="s">
        <v>485</v>
      </c>
      <c r="B38" s="544"/>
      <c r="C38" s="544"/>
      <c r="D38" s="544"/>
      <c r="E38" s="544"/>
      <c r="F38" s="545"/>
      <c r="G38" s="247"/>
      <c r="H38" s="247"/>
      <c r="I38" s="247"/>
      <c r="J38" s="247"/>
      <c r="K38" s="247"/>
      <c r="L38" s="247"/>
      <c r="M38" s="247"/>
    </row>
    <row r="39" spans="1:13" ht="18" customHeight="1">
      <c r="A39" s="299" t="s">
        <v>555</v>
      </c>
      <c r="B39" s="299" t="s">
        <v>530</v>
      </c>
      <c r="C39" s="346">
        <f>C11+C14+C17+C20+C23+C28</f>
        <v>128</v>
      </c>
      <c r="D39" s="346">
        <v>2</v>
      </c>
      <c r="E39" s="347">
        <v>3000</v>
      </c>
      <c r="F39" s="347">
        <f t="shared" ref="F39:F42" si="7">C39*D39*E39</f>
        <v>768000</v>
      </c>
      <c r="G39" s="247"/>
      <c r="H39" s="247"/>
      <c r="I39" s="247"/>
      <c r="J39" s="247"/>
      <c r="K39" s="247"/>
      <c r="L39" s="247"/>
      <c r="M39" s="247"/>
    </row>
    <row r="40" spans="1:13" ht="18" customHeight="1">
      <c r="A40" s="299" t="s">
        <v>572</v>
      </c>
      <c r="B40" s="299" t="s">
        <v>607</v>
      </c>
      <c r="C40" s="346">
        <v>500</v>
      </c>
      <c r="D40" s="346">
        <v>2</v>
      </c>
      <c r="E40" s="347">
        <v>1000</v>
      </c>
      <c r="F40" s="347">
        <f t="shared" si="7"/>
        <v>1000000</v>
      </c>
      <c r="G40" s="247"/>
      <c r="H40" s="247"/>
      <c r="I40" s="247"/>
      <c r="J40" s="247"/>
      <c r="K40" s="247"/>
      <c r="L40" s="247"/>
      <c r="M40" s="247"/>
    </row>
    <row r="41" spans="1:13" ht="18" customHeight="1">
      <c r="A41" s="299" t="s">
        <v>553</v>
      </c>
      <c r="B41" s="299" t="s">
        <v>607</v>
      </c>
      <c r="C41" s="346">
        <f>C40/25</f>
        <v>20</v>
      </c>
      <c r="D41" s="346">
        <v>2</v>
      </c>
      <c r="E41" s="347">
        <v>6000</v>
      </c>
      <c r="F41" s="347">
        <f t="shared" si="7"/>
        <v>240000</v>
      </c>
      <c r="G41" s="247"/>
      <c r="H41" s="247"/>
      <c r="I41" s="247"/>
      <c r="J41" s="247"/>
      <c r="K41" s="247"/>
      <c r="L41" s="247"/>
      <c r="M41" s="247"/>
    </row>
    <row r="42" spans="1:13" ht="18" customHeight="1">
      <c r="A42" s="299" t="s">
        <v>554</v>
      </c>
      <c r="B42" s="299" t="s">
        <v>530</v>
      </c>
      <c r="C42" s="346">
        <v>2</v>
      </c>
      <c r="D42" s="346">
        <v>3</v>
      </c>
      <c r="E42" s="347">
        <v>8000</v>
      </c>
      <c r="F42" s="347">
        <f t="shared" si="7"/>
        <v>48000</v>
      </c>
      <c r="G42" s="247"/>
      <c r="H42" s="247"/>
      <c r="I42" s="247"/>
      <c r="J42" s="247"/>
      <c r="K42" s="247"/>
      <c r="L42" s="247"/>
      <c r="M42" s="247"/>
    </row>
    <row r="43" spans="1:13" ht="18" customHeight="1">
      <c r="A43" s="299" t="s">
        <v>552</v>
      </c>
      <c r="B43" s="299" t="s">
        <v>530</v>
      </c>
      <c r="C43" s="346">
        <v>2</v>
      </c>
      <c r="D43" s="346">
        <v>2</v>
      </c>
      <c r="E43" s="347">
        <v>12000</v>
      </c>
      <c r="F43" s="347">
        <f t="shared" ref="F43:F44" si="8">C43*D43*E43</f>
        <v>48000</v>
      </c>
      <c r="G43" s="247"/>
      <c r="H43" s="247"/>
      <c r="I43" s="247"/>
      <c r="J43" s="247"/>
      <c r="K43" s="247"/>
      <c r="L43" s="247"/>
      <c r="M43" s="247"/>
    </row>
    <row r="44" spans="1:13" ht="18" customHeight="1">
      <c r="A44" s="420" t="s">
        <v>550</v>
      </c>
      <c r="B44" s="299" t="s">
        <v>607</v>
      </c>
      <c r="C44" s="346">
        <f>80+40+100+130+150</f>
        <v>500</v>
      </c>
      <c r="D44" s="346">
        <v>1</v>
      </c>
      <c r="E44" s="347">
        <v>800</v>
      </c>
      <c r="F44" s="347">
        <f t="shared" si="8"/>
        <v>400000</v>
      </c>
      <c r="G44" s="247"/>
      <c r="H44" s="247"/>
      <c r="I44" s="247"/>
      <c r="J44" s="247"/>
      <c r="K44" s="247"/>
      <c r="L44" s="247"/>
      <c r="M44" s="247"/>
    </row>
    <row r="45" spans="1:13" ht="18" customHeight="1">
      <c r="A45" s="420" t="s">
        <v>551</v>
      </c>
      <c r="B45" s="299" t="s">
        <v>607</v>
      </c>
      <c r="C45" s="346">
        <f>20*7*3</f>
        <v>420</v>
      </c>
      <c r="D45" s="346">
        <v>3</v>
      </c>
      <c r="E45" s="347">
        <v>800</v>
      </c>
      <c r="F45" s="347">
        <f>C45*D45*E45</f>
        <v>1008000</v>
      </c>
      <c r="G45" s="247"/>
      <c r="H45" s="247"/>
      <c r="I45" s="247"/>
      <c r="J45" s="247"/>
      <c r="K45" s="247"/>
      <c r="L45" s="247"/>
      <c r="M45" s="247"/>
    </row>
    <row r="46" spans="1:13" ht="18" customHeight="1">
      <c r="A46" s="453" t="s">
        <v>609</v>
      </c>
      <c r="B46" s="361" t="s">
        <v>610</v>
      </c>
      <c r="C46" s="454">
        <f>150*40</f>
        <v>6000</v>
      </c>
      <c r="D46" s="454">
        <v>1</v>
      </c>
      <c r="E46" s="455">
        <v>100</v>
      </c>
      <c r="F46" s="347">
        <f>C46*D46*E46</f>
        <v>600000</v>
      </c>
      <c r="G46" s="247"/>
      <c r="H46" s="247"/>
      <c r="I46" s="247"/>
      <c r="J46" s="247"/>
      <c r="K46" s="247"/>
      <c r="L46" s="247"/>
      <c r="M46" s="247"/>
    </row>
    <row r="47" spans="1:13" ht="18" customHeight="1">
      <c r="A47" s="534" t="s">
        <v>403</v>
      </c>
      <c r="B47" s="535"/>
      <c r="C47" s="535"/>
      <c r="D47" s="535"/>
      <c r="E47" s="536"/>
      <c r="F47" s="430">
        <f>SUM(F39:F46)</f>
        <v>4112000</v>
      </c>
      <c r="G47" s="247"/>
      <c r="H47" s="247"/>
      <c r="I47" s="247"/>
      <c r="J47" s="247"/>
      <c r="K47" s="247"/>
      <c r="L47" s="247"/>
      <c r="M47" s="247"/>
    </row>
    <row r="48" spans="1:13" ht="18" customHeight="1">
      <c r="A48" s="540" t="s">
        <v>406</v>
      </c>
      <c r="B48" s="541"/>
      <c r="C48" s="541"/>
      <c r="D48" s="541"/>
      <c r="E48" s="542"/>
      <c r="F48" s="431">
        <f>F37+F47</f>
        <v>24219500</v>
      </c>
      <c r="G48" s="247"/>
      <c r="H48" s="247"/>
      <c r="I48" s="247"/>
      <c r="J48" s="247"/>
      <c r="K48" s="247"/>
      <c r="L48" s="247"/>
      <c r="M48" s="247"/>
    </row>
    <row r="49" spans="1:6" s="385" customFormat="1" ht="20.5">
      <c r="A49" s="517" t="s">
        <v>564</v>
      </c>
      <c r="B49" s="517"/>
      <c r="C49" s="428"/>
    </row>
    <row r="50" spans="1:6" ht="26">
      <c r="B50" s="337"/>
      <c r="D50" s="309"/>
      <c r="F50" s="311"/>
    </row>
    <row r="51" spans="1:6" ht="26">
      <c r="B51" s="337"/>
    </row>
    <row r="52" spans="1:6" ht="26">
      <c r="B52" s="337"/>
    </row>
    <row r="53" spans="1:6" ht="26">
      <c r="B53" s="337"/>
    </row>
    <row r="54" spans="1:6" ht="26">
      <c r="B54" s="337"/>
    </row>
    <row r="55" spans="1:6" ht="26">
      <c r="B55" s="338"/>
    </row>
  </sheetData>
  <mergeCells count="8">
    <mergeCell ref="A49:B49"/>
    <mergeCell ref="A47:E47"/>
    <mergeCell ref="A48:E48"/>
    <mergeCell ref="A1:L1"/>
    <mergeCell ref="A6:E6"/>
    <mergeCell ref="G6:L6"/>
    <mergeCell ref="A37:E37"/>
    <mergeCell ref="A38:F38"/>
  </mergeCells>
  <conditionalFormatting sqref="E49">
    <cfRule type="cellIs" dxfId="7" priority="1" stopIfTrue="1" operator="equal">
      <formula>0</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A1:M29"/>
  <sheetViews>
    <sheetView zoomScale="140" zoomScaleNormal="140" workbookViewId="0">
      <pane xSplit="1" ySplit="7" topLeftCell="B8" activePane="bottomRight" state="frozen"/>
      <selection pane="topRight" activeCell="C1" sqref="C1"/>
      <selection pane="bottomLeft" activeCell="A10" sqref="A10"/>
      <selection pane="bottomRight" activeCell="A5" sqref="A5:XFD5"/>
    </sheetView>
  </sheetViews>
  <sheetFormatPr defaultColWidth="10" defaultRowHeight="15.5"/>
  <cols>
    <col min="1" max="1" width="31.25" style="307" customWidth="1"/>
    <col min="2" max="2" width="13" style="308" customWidth="1"/>
    <col min="3" max="3" width="8.08203125" style="308" customWidth="1"/>
    <col min="4" max="4" width="11.58203125" style="307" customWidth="1"/>
    <col min="5" max="5" width="13.58203125" style="310" bestFit="1" customWidth="1"/>
    <col min="6" max="6" width="18.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315">
        <f>F22</f>
        <v>15347500</v>
      </c>
      <c r="C5" s="295"/>
      <c r="D5" s="295"/>
      <c r="E5" s="295"/>
      <c r="F5" s="296"/>
      <c r="G5" s="246"/>
      <c r="H5" s="246"/>
      <c r="I5" s="246"/>
      <c r="J5" s="246"/>
      <c r="K5" s="246"/>
      <c r="L5" s="246"/>
      <c r="M5" s="246"/>
    </row>
    <row r="6" spans="1:13" s="245" customFormat="1">
      <c r="A6" s="529" t="s">
        <v>416</v>
      </c>
      <c r="B6" s="529"/>
      <c r="C6" s="529"/>
      <c r="D6" s="529"/>
      <c r="E6" s="530"/>
      <c r="F6" s="298"/>
      <c r="G6" s="520" t="s">
        <v>390</v>
      </c>
      <c r="H6" s="521"/>
      <c r="I6" s="521"/>
      <c r="J6" s="521"/>
      <c r="K6" s="521"/>
      <c r="L6" s="522"/>
      <c r="M6" s="247" t="s">
        <v>391</v>
      </c>
    </row>
    <row r="7" spans="1:13" ht="15" customHeight="1">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5" customHeight="1">
      <c r="A8" s="392" t="s">
        <v>424</v>
      </c>
      <c r="B8" s="247"/>
      <c r="C8" s="393"/>
      <c r="D8" s="393"/>
      <c r="E8" s="395"/>
      <c r="F8" s="394"/>
      <c r="G8" s="247"/>
      <c r="H8" s="247"/>
      <c r="I8" s="247"/>
      <c r="J8" s="247"/>
      <c r="K8" s="247"/>
      <c r="L8" s="247"/>
      <c r="M8" s="247"/>
    </row>
    <row r="9" spans="1:13" ht="29">
      <c r="A9" s="372" t="s">
        <v>465</v>
      </c>
      <c r="B9" s="299"/>
      <c r="C9" s="374">
        <v>15</v>
      </c>
      <c r="D9" s="313">
        <v>3</v>
      </c>
      <c r="E9" s="375">
        <v>4500</v>
      </c>
      <c r="F9" s="375">
        <f>C9*D9*E9</f>
        <v>202500</v>
      </c>
      <c r="G9" s="247"/>
      <c r="H9" s="247"/>
      <c r="I9" s="247"/>
      <c r="J9" s="247"/>
      <c r="K9" s="247"/>
      <c r="L9" s="247"/>
      <c r="M9" s="247"/>
    </row>
    <row r="10" spans="1:13" ht="29">
      <c r="A10" s="372" t="s">
        <v>498</v>
      </c>
      <c r="B10" s="299"/>
      <c r="C10" s="374">
        <v>5</v>
      </c>
      <c r="D10" s="313">
        <v>12</v>
      </c>
      <c r="E10" s="375">
        <v>5000</v>
      </c>
      <c r="F10" s="375">
        <f>C10*D10*E10</f>
        <v>300000</v>
      </c>
      <c r="G10" s="247"/>
      <c r="H10" s="247"/>
      <c r="I10" s="247"/>
      <c r="J10" s="247"/>
      <c r="K10" s="247"/>
      <c r="L10" s="247"/>
      <c r="M10" s="247"/>
    </row>
    <row r="11" spans="1:13" ht="29">
      <c r="A11" s="372" t="s">
        <v>457</v>
      </c>
      <c r="B11" s="299"/>
      <c r="C11" s="374">
        <v>1</v>
      </c>
      <c r="D11" s="374">
        <v>3</v>
      </c>
      <c r="E11" s="375">
        <v>50000</v>
      </c>
      <c r="F11" s="375">
        <f>C11*D11*E11</f>
        <v>150000</v>
      </c>
      <c r="G11" s="247"/>
      <c r="H11" s="247"/>
      <c r="I11" s="247"/>
      <c r="J11" s="247"/>
      <c r="K11" s="247"/>
      <c r="L11" s="247"/>
      <c r="M11" s="247"/>
    </row>
    <row r="12" spans="1:13">
      <c r="A12" s="372" t="s">
        <v>458</v>
      </c>
      <c r="B12" s="299"/>
      <c r="C12" s="376">
        <v>15</v>
      </c>
      <c r="D12" s="376">
        <v>3</v>
      </c>
      <c r="E12" s="375">
        <v>5000</v>
      </c>
      <c r="F12" s="375">
        <f t="shared" ref="F12:F16" si="0">C12*D12*E12</f>
        <v>225000</v>
      </c>
      <c r="G12" s="247"/>
      <c r="H12" s="247"/>
      <c r="I12" s="247"/>
      <c r="J12" s="247"/>
      <c r="K12" s="247"/>
      <c r="L12" s="247"/>
      <c r="M12" s="247"/>
    </row>
    <row r="13" spans="1:13" ht="29">
      <c r="A13" s="372" t="s">
        <v>459</v>
      </c>
      <c r="B13" s="299"/>
      <c r="C13" s="374">
        <v>22</v>
      </c>
      <c r="D13" s="313">
        <v>1</v>
      </c>
      <c r="E13" s="377">
        <v>5000</v>
      </c>
      <c r="F13" s="375">
        <f t="shared" si="0"/>
        <v>110000</v>
      </c>
      <c r="G13" s="247"/>
      <c r="H13" s="247"/>
      <c r="I13" s="247"/>
      <c r="J13" s="247"/>
      <c r="K13" s="247"/>
      <c r="L13" s="247"/>
      <c r="M13" s="247"/>
    </row>
    <row r="14" spans="1:13" ht="29">
      <c r="A14" s="372" t="s">
        <v>603</v>
      </c>
      <c r="B14" s="299" t="s">
        <v>530</v>
      </c>
      <c r="C14" s="374">
        <v>25</v>
      </c>
      <c r="D14" s="313">
        <v>2</v>
      </c>
      <c r="E14" s="375">
        <v>5000</v>
      </c>
      <c r="F14" s="375">
        <f t="shared" si="0"/>
        <v>250000</v>
      </c>
      <c r="G14" s="247"/>
      <c r="H14" s="247"/>
      <c r="I14" s="247"/>
      <c r="J14" s="247"/>
      <c r="K14" s="247"/>
      <c r="L14" s="247"/>
      <c r="M14" s="247"/>
    </row>
    <row r="15" spans="1:13" ht="29">
      <c r="A15" s="372" t="s">
        <v>604</v>
      </c>
      <c r="B15" s="299" t="s">
        <v>530</v>
      </c>
      <c r="C15" s="374">
        <f>15*7</f>
        <v>105</v>
      </c>
      <c r="D15" s="374">
        <v>2</v>
      </c>
      <c r="E15" s="375">
        <v>2000</v>
      </c>
      <c r="F15" s="375">
        <f t="shared" si="0"/>
        <v>420000</v>
      </c>
      <c r="G15" s="378"/>
      <c r="H15" s="247"/>
      <c r="I15" s="247"/>
      <c r="J15" s="247"/>
      <c r="K15" s="247"/>
      <c r="L15" s="247"/>
      <c r="M15" s="247"/>
    </row>
    <row r="16" spans="1:13" s="245" customFormat="1">
      <c r="A16" s="373" t="s">
        <v>605</v>
      </c>
      <c r="B16" s="299" t="s">
        <v>530</v>
      </c>
      <c r="C16" s="313">
        <v>1690</v>
      </c>
      <c r="D16" s="313">
        <v>2</v>
      </c>
      <c r="E16" s="375">
        <v>3000</v>
      </c>
      <c r="F16" s="375">
        <f t="shared" si="0"/>
        <v>10140000</v>
      </c>
      <c r="G16" s="246"/>
      <c r="H16" s="246"/>
      <c r="I16" s="246"/>
      <c r="J16" s="246"/>
      <c r="K16" s="246"/>
      <c r="L16" s="246"/>
      <c r="M16" s="246"/>
    </row>
    <row r="17" spans="1:13" ht="15.75" customHeight="1">
      <c r="A17" s="534" t="s">
        <v>403</v>
      </c>
      <c r="B17" s="535"/>
      <c r="C17" s="535"/>
      <c r="D17" s="535"/>
      <c r="E17" s="536"/>
      <c r="F17" s="435">
        <f>SUM(F9:F16)</f>
        <v>11797500</v>
      </c>
      <c r="G17" s="378"/>
      <c r="H17" s="247"/>
      <c r="I17" s="247"/>
      <c r="J17" s="247"/>
      <c r="K17" s="247"/>
      <c r="L17" s="247"/>
      <c r="M17" s="247"/>
    </row>
    <row r="18" spans="1:13">
      <c r="A18" s="299" t="s">
        <v>606</v>
      </c>
      <c r="B18" s="299"/>
      <c r="C18" s="300">
        <v>1</v>
      </c>
      <c r="D18" s="299">
        <v>1</v>
      </c>
      <c r="E18" s="304">
        <v>3000000</v>
      </c>
      <c r="F18" s="375">
        <f t="shared" ref="F18:F20" si="1">C18*D18*E18</f>
        <v>3000000</v>
      </c>
      <c r="G18" s="378"/>
      <c r="H18" s="247"/>
      <c r="I18" s="247"/>
      <c r="J18" s="247"/>
      <c r="K18" s="247"/>
      <c r="L18" s="247"/>
      <c r="M18" s="247"/>
    </row>
    <row r="19" spans="1:13" ht="25">
      <c r="A19" s="300" t="s">
        <v>466</v>
      </c>
      <c r="B19" s="299"/>
      <c r="C19" s="300">
        <v>1</v>
      </c>
      <c r="D19" s="299">
        <v>1</v>
      </c>
      <c r="E19" s="304">
        <v>500000</v>
      </c>
      <c r="F19" s="375">
        <f t="shared" si="1"/>
        <v>500000</v>
      </c>
      <c r="G19" s="378"/>
      <c r="H19" s="247"/>
      <c r="I19" s="247"/>
      <c r="J19" s="247"/>
      <c r="K19" s="247"/>
      <c r="L19" s="247"/>
      <c r="M19" s="247"/>
    </row>
    <row r="20" spans="1:13">
      <c r="A20" s="299" t="s">
        <v>413</v>
      </c>
      <c r="B20" s="299"/>
      <c r="C20" s="300">
        <v>25</v>
      </c>
      <c r="D20" s="299">
        <v>1</v>
      </c>
      <c r="E20" s="304">
        <v>2000</v>
      </c>
      <c r="F20" s="375">
        <f t="shared" si="1"/>
        <v>50000</v>
      </c>
      <c r="G20" s="378"/>
      <c r="H20" s="247"/>
      <c r="I20" s="247"/>
      <c r="J20" s="247"/>
      <c r="K20" s="247"/>
      <c r="L20" s="247"/>
      <c r="M20" s="247"/>
    </row>
    <row r="21" spans="1:13" ht="15.75" customHeight="1">
      <c r="A21" s="534" t="s">
        <v>403</v>
      </c>
      <c r="B21" s="535"/>
      <c r="C21" s="535"/>
      <c r="D21" s="535"/>
      <c r="E21" s="536"/>
      <c r="F21" s="433">
        <f>SUM(F18:F20)</f>
        <v>3550000</v>
      </c>
    </row>
    <row r="22" spans="1:13" ht="15.75" customHeight="1">
      <c r="A22" s="526" t="s">
        <v>499</v>
      </c>
      <c r="B22" s="527"/>
      <c r="C22" s="527"/>
      <c r="D22" s="527"/>
      <c r="E22" s="528"/>
      <c r="F22" s="436">
        <f>F17+F21</f>
        <v>15347500</v>
      </c>
    </row>
    <row r="23" spans="1:13" s="385" customFormat="1" ht="20.5">
      <c r="A23" s="517" t="s">
        <v>564</v>
      </c>
      <c r="B23" s="517"/>
      <c r="C23" s="428"/>
    </row>
    <row r="24" spans="1:13">
      <c r="A24" s="295"/>
    </row>
    <row r="25" spans="1:13">
      <c r="A25" s="295"/>
    </row>
    <row r="26" spans="1:13">
      <c r="A26" s="295"/>
    </row>
    <row r="27" spans="1:13">
      <c r="A27" s="295"/>
    </row>
    <row r="28" spans="1:13">
      <c r="A28" s="295" t="s">
        <v>456</v>
      </c>
    </row>
    <row r="29" spans="1:13">
      <c r="A29" s="354"/>
    </row>
  </sheetData>
  <mergeCells count="7">
    <mergeCell ref="A23:B23"/>
    <mergeCell ref="A1:L1"/>
    <mergeCell ref="A6:E6"/>
    <mergeCell ref="G6:L6"/>
    <mergeCell ref="A21:E21"/>
    <mergeCell ref="A22:E22"/>
    <mergeCell ref="A17:E17"/>
  </mergeCells>
  <conditionalFormatting sqref="E23">
    <cfRule type="cellIs" dxfId="6" priority="1" stopIfTrue="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sheetPr>
  <dimension ref="A1:M34"/>
  <sheetViews>
    <sheetView zoomScale="120" zoomScaleNormal="120" workbookViewId="0">
      <selection activeCell="A5" sqref="A5:XFD5"/>
    </sheetView>
  </sheetViews>
  <sheetFormatPr defaultColWidth="10" defaultRowHeight="15.5"/>
  <cols>
    <col min="1" max="1" width="75.5" style="307" customWidth="1"/>
    <col min="2" max="2" width="12.58203125" style="308"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315">
        <f>F26</f>
        <v>1382640</v>
      </c>
      <c r="C5" s="295"/>
      <c r="D5" s="295"/>
      <c r="E5" s="295"/>
      <c r="F5" s="296"/>
      <c r="G5" s="246"/>
      <c r="H5" s="246"/>
      <c r="I5" s="246"/>
      <c r="J5" s="246"/>
      <c r="K5" s="246"/>
      <c r="L5" s="246"/>
      <c r="M5" s="246"/>
    </row>
    <row r="6" spans="1:13" s="245" customFormat="1">
      <c r="A6" s="529" t="s">
        <v>416</v>
      </c>
      <c r="B6" s="529"/>
      <c r="C6" s="529"/>
      <c r="D6" s="529"/>
      <c r="E6" s="530"/>
      <c r="F6" s="298"/>
      <c r="G6" s="520" t="s">
        <v>390</v>
      </c>
      <c r="H6" s="521"/>
      <c r="I6" s="521"/>
      <c r="J6" s="521"/>
      <c r="K6" s="521"/>
      <c r="L6" s="522"/>
      <c r="M6" s="247" t="s">
        <v>391</v>
      </c>
    </row>
    <row r="7" spans="1:13" ht="18">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8">
      <c r="A8" s="392" t="s">
        <v>424</v>
      </c>
      <c r="B8" s="247"/>
      <c r="C8" s="393"/>
      <c r="D8" s="393"/>
      <c r="E8" s="395"/>
      <c r="F8" s="394"/>
      <c r="G8" s="247"/>
      <c r="H8" s="247"/>
      <c r="I8" s="247"/>
      <c r="J8" s="247"/>
      <c r="K8" s="247"/>
      <c r="L8" s="247"/>
      <c r="M8" s="247"/>
    </row>
    <row r="9" spans="1:13" ht="25.5" customHeight="1">
      <c r="A9" s="348" t="s">
        <v>444</v>
      </c>
      <c r="B9" s="299"/>
      <c r="C9" s="300"/>
      <c r="D9" s="299"/>
      <c r="E9" s="304"/>
      <c r="F9" s="305"/>
      <c r="G9" s="247"/>
      <c r="H9" s="247"/>
      <c r="I9" s="247"/>
      <c r="J9" s="247"/>
      <c r="K9" s="247"/>
      <c r="L9" s="247"/>
      <c r="M9" s="247"/>
    </row>
    <row r="10" spans="1:13">
      <c r="A10" s="360" t="s">
        <v>579</v>
      </c>
      <c r="B10" s="339"/>
      <c r="C10" s="341">
        <v>1</v>
      </c>
      <c r="D10" s="299">
        <v>1</v>
      </c>
      <c r="E10" s="304">
        <v>30000</v>
      </c>
      <c r="F10" s="304">
        <f>C10*D10*E10</f>
        <v>30000</v>
      </c>
      <c r="G10" s="247"/>
      <c r="H10" s="247"/>
      <c r="I10" s="247"/>
      <c r="J10" s="247"/>
      <c r="K10" s="247"/>
      <c r="L10" s="247"/>
      <c r="M10" s="247"/>
    </row>
    <row r="11" spans="1:13">
      <c r="A11" s="360" t="s">
        <v>580</v>
      </c>
      <c r="B11" s="339"/>
      <c r="C11" s="341">
        <v>1</v>
      </c>
      <c r="D11" s="299">
        <v>1</v>
      </c>
      <c r="E11" s="304">
        <v>30000</v>
      </c>
      <c r="F11" s="304">
        <f t="shared" ref="F11:F25" si="0">C11*D11*E11</f>
        <v>30000</v>
      </c>
      <c r="G11" s="247"/>
      <c r="H11" s="247"/>
      <c r="I11" s="247"/>
      <c r="J11" s="247"/>
      <c r="K11" s="247"/>
      <c r="L11" s="247"/>
      <c r="M11" s="247"/>
    </row>
    <row r="12" spans="1:13">
      <c r="A12" s="360" t="s">
        <v>577</v>
      </c>
      <c r="B12" s="339"/>
      <c r="C12" s="444">
        <v>1</v>
      </c>
      <c r="D12" s="299">
        <v>1</v>
      </c>
      <c r="E12" s="304">
        <v>30000</v>
      </c>
      <c r="F12" s="304">
        <f>C12*D12*E12</f>
        <v>30000</v>
      </c>
      <c r="G12" s="247"/>
      <c r="H12" s="247"/>
      <c r="I12" s="247"/>
      <c r="J12" s="247"/>
      <c r="K12" s="247"/>
      <c r="L12" s="247"/>
      <c r="M12" s="247"/>
    </row>
    <row r="13" spans="1:13">
      <c r="A13" s="360" t="s">
        <v>578</v>
      </c>
      <c r="B13" s="339"/>
      <c r="C13" s="444">
        <v>1</v>
      </c>
      <c r="D13" s="299">
        <v>1</v>
      </c>
      <c r="E13" s="304">
        <v>30000</v>
      </c>
      <c r="F13" s="304">
        <f t="shared" ref="F13" si="1">C13*D13*E13</f>
        <v>30000</v>
      </c>
      <c r="G13" s="247"/>
      <c r="H13" s="247"/>
      <c r="I13" s="247"/>
      <c r="J13" s="247"/>
      <c r="K13" s="247"/>
      <c r="L13" s="247"/>
      <c r="M13" s="247"/>
    </row>
    <row r="14" spans="1:13">
      <c r="A14" s="360" t="s">
        <v>500</v>
      </c>
      <c r="B14" s="339"/>
      <c r="C14" s="444">
        <v>1</v>
      </c>
      <c r="D14" s="299">
        <v>4</v>
      </c>
      <c r="E14" s="304">
        <v>30000</v>
      </c>
      <c r="F14" s="304">
        <f>C14*D14*E14</f>
        <v>120000</v>
      </c>
      <c r="G14" s="247"/>
      <c r="H14" s="247"/>
      <c r="I14" s="247"/>
      <c r="J14" s="247"/>
      <c r="K14" s="247"/>
      <c r="L14" s="247"/>
      <c r="M14" s="247"/>
    </row>
    <row r="15" spans="1:13">
      <c r="A15" s="360" t="s">
        <v>501</v>
      </c>
      <c r="B15" s="339"/>
      <c r="C15" s="444">
        <v>1</v>
      </c>
      <c r="D15" s="299">
        <v>4</v>
      </c>
      <c r="E15" s="304">
        <v>30000</v>
      </c>
      <c r="F15" s="304">
        <f t="shared" ref="F15" si="2">C15*D15*E15</f>
        <v>120000</v>
      </c>
      <c r="G15" s="247"/>
      <c r="H15" s="247"/>
      <c r="I15" s="247"/>
      <c r="J15" s="247"/>
      <c r="K15" s="247"/>
      <c r="L15" s="247"/>
      <c r="M15" s="247"/>
    </row>
    <row r="16" spans="1:13">
      <c r="A16" s="360" t="s">
        <v>582</v>
      </c>
      <c r="B16" s="339"/>
      <c r="C16" s="341">
        <v>1</v>
      </c>
      <c r="D16" s="299">
        <v>4</v>
      </c>
      <c r="E16" s="304">
        <v>30000</v>
      </c>
      <c r="F16" s="304">
        <f>C16*D16*E16</f>
        <v>120000</v>
      </c>
      <c r="G16" s="247"/>
      <c r="H16" s="247"/>
      <c r="I16" s="247"/>
      <c r="J16" s="247"/>
      <c r="K16" s="247"/>
      <c r="L16" s="247"/>
      <c r="M16" s="247"/>
    </row>
    <row r="17" spans="1:13">
      <c r="A17" s="360" t="s">
        <v>512</v>
      </c>
      <c r="B17" s="339"/>
      <c r="C17" s="341">
        <v>1</v>
      </c>
      <c r="D17" s="299">
        <v>2</v>
      </c>
      <c r="E17" s="304">
        <v>12000</v>
      </c>
      <c r="F17" s="304">
        <f t="shared" ref="F17:F18" si="3">C17*D17*E17</f>
        <v>24000</v>
      </c>
      <c r="G17" s="247"/>
      <c r="H17" s="247"/>
      <c r="I17" s="247"/>
      <c r="J17" s="247"/>
      <c r="K17" s="247"/>
      <c r="L17" s="247"/>
      <c r="M17" s="247"/>
    </row>
    <row r="18" spans="1:13">
      <c r="A18" s="360" t="s">
        <v>587</v>
      </c>
      <c r="B18" s="339"/>
      <c r="C18" s="341">
        <v>1</v>
      </c>
      <c r="D18" s="299">
        <v>6</v>
      </c>
      <c r="E18" s="304">
        <v>30000</v>
      </c>
      <c r="F18" s="304">
        <f t="shared" si="3"/>
        <v>180000</v>
      </c>
      <c r="G18" s="247"/>
      <c r="H18" s="247"/>
      <c r="I18" s="247"/>
      <c r="J18" s="247"/>
      <c r="K18" s="247"/>
      <c r="L18" s="247"/>
      <c r="M18" s="247"/>
    </row>
    <row r="19" spans="1:13">
      <c r="A19" s="360" t="s">
        <v>586</v>
      </c>
      <c r="B19" s="339"/>
      <c r="C19" s="341">
        <v>1</v>
      </c>
      <c r="D19" s="299">
        <v>6</v>
      </c>
      <c r="E19" s="304">
        <v>30000</v>
      </c>
      <c r="F19" s="304">
        <f t="shared" si="0"/>
        <v>180000</v>
      </c>
      <c r="G19" s="247"/>
      <c r="H19" s="247"/>
      <c r="I19" s="247"/>
      <c r="J19" s="247"/>
      <c r="K19" s="247"/>
      <c r="L19" s="247"/>
      <c r="M19" s="247"/>
    </row>
    <row r="20" spans="1:13">
      <c r="A20" s="360" t="s">
        <v>581</v>
      </c>
      <c r="B20" s="339"/>
      <c r="C20" s="341">
        <v>20</v>
      </c>
      <c r="D20" s="299">
        <v>1</v>
      </c>
      <c r="E20" s="304">
        <v>800</v>
      </c>
      <c r="F20" s="304">
        <f t="shared" si="0"/>
        <v>16000</v>
      </c>
      <c r="G20" s="247"/>
      <c r="H20" s="247"/>
      <c r="I20" s="247"/>
      <c r="J20" s="247"/>
      <c r="K20" s="247"/>
      <c r="L20" s="247"/>
      <c r="M20" s="247"/>
    </row>
    <row r="21" spans="1:13">
      <c r="A21" s="360" t="s">
        <v>576</v>
      </c>
      <c r="B21" s="339"/>
      <c r="C21" s="444">
        <f>(160*0.2*2)</f>
        <v>64</v>
      </c>
      <c r="D21" s="299">
        <v>1</v>
      </c>
      <c r="E21" s="304">
        <v>800</v>
      </c>
      <c r="F21" s="304">
        <f t="shared" si="0"/>
        <v>51200</v>
      </c>
      <c r="G21" s="247"/>
      <c r="H21" s="247"/>
      <c r="I21" s="247"/>
      <c r="J21" s="247"/>
      <c r="K21" s="247"/>
      <c r="L21" s="247"/>
      <c r="M21" s="247"/>
    </row>
    <row r="22" spans="1:13">
      <c r="A22" s="360" t="s">
        <v>445</v>
      </c>
      <c r="B22" s="339"/>
      <c r="C22" s="444">
        <f>(310+77+60+287)*0.2</f>
        <v>146.80000000000001</v>
      </c>
      <c r="D22" s="299">
        <v>1</v>
      </c>
      <c r="E22" s="304">
        <v>800</v>
      </c>
      <c r="F22" s="304">
        <f t="shared" si="0"/>
        <v>117440.00000000001</v>
      </c>
      <c r="G22" s="247"/>
      <c r="H22" s="247"/>
      <c r="I22" s="247"/>
      <c r="J22" s="247"/>
      <c r="K22" s="247"/>
      <c r="L22" s="247"/>
      <c r="M22" s="247"/>
    </row>
    <row r="23" spans="1:13">
      <c r="A23" s="360" t="s">
        <v>585</v>
      </c>
      <c r="B23" s="339"/>
      <c r="C23" s="341">
        <v>400</v>
      </c>
      <c r="D23" s="299">
        <v>1</v>
      </c>
      <c r="E23" s="304">
        <v>800</v>
      </c>
      <c r="F23" s="304">
        <f t="shared" si="0"/>
        <v>320000</v>
      </c>
      <c r="G23" s="247"/>
      <c r="H23" s="247"/>
      <c r="I23" s="247"/>
      <c r="J23" s="247"/>
      <c r="K23" s="247"/>
      <c r="L23" s="247"/>
      <c r="M23" s="247"/>
    </row>
    <row r="24" spans="1:13">
      <c r="A24" s="360" t="s">
        <v>583</v>
      </c>
      <c r="B24" s="341"/>
      <c r="C24" s="300">
        <v>2</v>
      </c>
      <c r="D24" s="341">
        <v>4</v>
      </c>
      <c r="E24" s="304">
        <v>500</v>
      </c>
      <c r="F24" s="304">
        <f t="shared" ref="F24" si="4">C24*D24*E24</f>
        <v>4000</v>
      </c>
      <c r="G24" s="247"/>
      <c r="H24" s="247"/>
      <c r="I24" s="247"/>
      <c r="J24" s="247"/>
      <c r="K24" s="247"/>
      <c r="L24" s="247"/>
      <c r="M24" s="247"/>
    </row>
    <row r="25" spans="1:13">
      <c r="A25" s="360" t="s">
        <v>584</v>
      </c>
      <c r="B25" s="341"/>
      <c r="C25" s="300">
        <v>1</v>
      </c>
      <c r="D25" s="341">
        <v>2</v>
      </c>
      <c r="E25" s="304">
        <v>5000</v>
      </c>
      <c r="F25" s="304">
        <f t="shared" si="0"/>
        <v>10000</v>
      </c>
      <c r="G25" s="247"/>
      <c r="H25" s="247"/>
      <c r="I25" s="247"/>
      <c r="J25" s="247"/>
      <c r="K25" s="247"/>
      <c r="L25" s="247"/>
      <c r="M25" s="247"/>
    </row>
    <row r="26" spans="1:13">
      <c r="A26" s="534" t="s">
        <v>406</v>
      </c>
      <c r="B26" s="535"/>
      <c r="C26" s="535"/>
      <c r="D26" s="535"/>
      <c r="E26" s="536"/>
      <c r="F26" s="433">
        <f>SUM(F10:F25)</f>
        <v>1382640</v>
      </c>
      <c r="G26" s="247"/>
      <c r="H26" s="247"/>
      <c r="I26" s="247"/>
      <c r="J26" s="247"/>
      <c r="K26" s="247"/>
      <c r="L26" s="247"/>
      <c r="M26" s="247"/>
    </row>
    <row r="27" spans="1:13" s="385" customFormat="1" ht="20.5">
      <c r="A27" s="517" t="s">
        <v>564</v>
      </c>
      <c r="B27" s="517"/>
      <c r="C27" s="428"/>
    </row>
    <row r="28" spans="1:13">
      <c r="B28" s="351"/>
    </row>
    <row r="29" spans="1:13">
      <c r="B29" s="351"/>
    </row>
    <row r="30" spans="1:13">
      <c r="B30" s="351"/>
    </row>
    <row r="31" spans="1:13">
      <c r="B31" s="351"/>
    </row>
    <row r="32" spans="1:13">
      <c r="B32" s="351"/>
    </row>
    <row r="33" spans="2:2">
      <c r="B33" s="351"/>
    </row>
    <row r="34" spans="2:2">
      <c r="B34" s="352"/>
    </row>
  </sheetData>
  <mergeCells count="5">
    <mergeCell ref="A1:L1"/>
    <mergeCell ref="A6:E6"/>
    <mergeCell ref="G6:L6"/>
    <mergeCell ref="A26:E26"/>
    <mergeCell ref="A27:B27"/>
  </mergeCells>
  <conditionalFormatting sqref="E27">
    <cfRule type="cellIs" dxfId="5" priority="1" stopIfTrue="1"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sheetPr>
  <dimension ref="A1:M52"/>
  <sheetViews>
    <sheetView zoomScale="110" zoomScaleNormal="110" workbookViewId="0">
      <selection activeCell="A5" sqref="A5:XFD5"/>
    </sheetView>
  </sheetViews>
  <sheetFormatPr defaultColWidth="10" defaultRowHeight="15.5"/>
  <cols>
    <col min="1" max="1" width="68.83203125" style="307" customWidth="1"/>
    <col min="2" max="2" width="15.83203125" style="308" bestFit="1" customWidth="1"/>
    <col min="3" max="3" width="8.08203125" style="308" customWidth="1"/>
    <col min="4" max="4" width="11.58203125" style="307" customWidth="1"/>
    <col min="5" max="5" width="12.5" style="310" customWidth="1"/>
    <col min="6" max="6" width="16.08203125" style="312" customWidth="1"/>
    <col min="7" max="7" width="12.58203125" style="381"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297">
        <f>F50</f>
        <v>3252000</v>
      </c>
      <c r="C5" s="295"/>
      <c r="D5" s="295"/>
      <c r="E5" s="295"/>
      <c r="F5" s="296"/>
      <c r="G5" s="379"/>
      <c r="H5" s="246"/>
      <c r="I5" s="246"/>
      <c r="J5" s="246"/>
      <c r="K5" s="246"/>
      <c r="L5" s="246"/>
      <c r="M5" s="246"/>
    </row>
    <row r="6" spans="1:13" s="245" customFormat="1">
      <c r="A6" s="519" t="s">
        <v>416</v>
      </c>
      <c r="B6" s="519"/>
      <c r="C6" s="519"/>
      <c r="D6" s="519"/>
      <c r="E6" s="520"/>
      <c r="F6" s="416"/>
      <c r="G6" s="520" t="s">
        <v>390</v>
      </c>
      <c r="H6" s="521"/>
      <c r="I6" s="521"/>
      <c r="J6" s="521"/>
      <c r="K6" s="521"/>
      <c r="L6" s="522"/>
      <c r="M6" s="247" t="s">
        <v>391</v>
      </c>
    </row>
    <row r="7" spans="1:13" ht="18">
      <c r="A7" s="392" t="s">
        <v>425</v>
      </c>
      <c r="B7" s="247" t="s">
        <v>393</v>
      </c>
      <c r="C7" s="393" t="s">
        <v>394</v>
      </c>
      <c r="D7" s="393" t="s">
        <v>395</v>
      </c>
      <c r="E7" s="393" t="s">
        <v>396</v>
      </c>
      <c r="F7" s="394" t="s">
        <v>397</v>
      </c>
      <c r="G7" s="380" t="s">
        <v>392</v>
      </c>
      <c r="H7" s="247" t="s">
        <v>398</v>
      </c>
      <c r="I7" s="247" t="s">
        <v>399</v>
      </c>
      <c r="J7" s="247" t="s">
        <v>400</v>
      </c>
      <c r="K7" s="247" t="s">
        <v>401</v>
      </c>
      <c r="L7" s="247" t="s">
        <v>402</v>
      </c>
      <c r="M7" s="247"/>
    </row>
    <row r="8" spans="1:13" ht="18">
      <c r="A8" s="546" t="s">
        <v>635</v>
      </c>
      <c r="B8" s="547"/>
      <c r="C8" s="547"/>
      <c r="D8" s="547"/>
      <c r="E8" s="547"/>
      <c r="F8" s="548"/>
      <c r="G8" s="380"/>
      <c r="H8" s="247"/>
      <c r="I8" s="247"/>
      <c r="J8" s="247"/>
      <c r="K8" s="247"/>
      <c r="L8" s="247"/>
      <c r="M8" s="247"/>
    </row>
    <row r="9" spans="1:13">
      <c r="A9" s="302" t="s">
        <v>614</v>
      </c>
      <c r="B9" s="299"/>
      <c r="C9" s="300"/>
      <c r="D9" s="299"/>
      <c r="E9" s="304"/>
      <c r="F9" s="305"/>
      <c r="G9" s="380"/>
      <c r="H9" s="247"/>
      <c r="I9" s="247"/>
      <c r="J9" s="247"/>
      <c r="K9" s="247"/>
      <c r="L9" s="247"/>
      <c r="M9" s="247"/>
    </row>
    <row r="10" spans="1:13">
      <c r="A10" s="300" t="s">
        <v>615</v>
      </c>
      <c r="B10" s="299" t="s">
        <v>556</v>
      </c>
      <c r="C10" s="300">
        <v>2</v>
      </c>
      <c r="D10" s="299">
        <v>8</v>
      </c>
      <c r="E10" s="304">
        <v>30000</v>
      </c>
      <c r="F10" s="304">
        <f>C10*D10*E10</f>
        <v>480000</v>
      </c>
      <c r="G10" s="380"/>
      <c r="H10" s="247"/>
      <c r="I10" s="247"/>
      <c r="J10" s="247"/>
      <c r="K10" s="247"/>
      <c r="L10" s="247"/>
      <c r="M10" s="247"/>
    </row>
    <row r="11" spans="1:13">
      <c r="A11" s="300" t="s">
        <v>621</v>
      </c>
      <c r="B11" s="299" t="s">
        <v>556</v>
      </c>
      <c r="C11" s="300">
        <v>1</v>
      </c>
      <c r="D11" s="299">
        <v>8</v>
      </c>
      <c r="E11" s="304">
        <v>30000</v>
      </c>
      <c r="F11" s="304">
        <f t="shared" ref="F11:F16" si="0">C11*D11*E11</f>
        <v>240000</v>
      </c>
      <c r="G11" s="380"/>
      <c r="H11" s="247"/>
      <c r="I11" s="247"/>
      <c r="J11" s="247"/>
      <c r="K11" s="247"/>
      <c r="L11" s="247"/>
      <c r="M11" s="247"/>
    </row>
    <row r="12" spans="1:13">
      <c r="A12" s="300" t="s">
        <v>627</v>
      </c>
      <c r="B12" s="299" t="s">
        <v>556</v>
      </c>
      <c r="C12" s="300">
        <v>2</v>
      </c>
      <c r="D12" s="299">
        <v>6</v>
      </c>
      <c r="E12" s="304">
        <v>12500</v>
      </c>
      <c r="F12" s="304">
        <f t="shared" si="0"/>
        <v>150000</v>
      </c>
      <c r="G12" s="380"/>
      <c r="H12" s="247"/>
      <c r="I12" s="247"/>
      <c r="J12" s="247"/>
      <c r="K12" s="247"/>
      <c r="L12" s="247"/>
      <c r="M12" s="247"/>
    </row>
    <row r="13" spans="1:13">
      <c r="A13" s="300"/>
      <c r="B13" s="299"/>
      <c r="C13" s="300"/>
      <c r="D13" s="299"/>
      <c r="E13" s="304"/>
      <c r="F13" s="304"/>
      <c r="G13" s="380"/>
      <c r="H13" s="247"/>
      <c r="I13" s="247"/>
      <c r="J13" s="247"/>
      <c r="K13" s="247"/>
      <c r="L13" s="247"/>
      <c r="M13" s="247"/>
    </row>
    <row r="14" spans="1:13">
      <c r="A14" s="300" t="s">
        <v>618</v>
      </c>
      <c r="B14" s="299" t="s">
        <v>556</v>
      </c>
      <c r="C14" s="300">
        <v>2</v>
      </c>
      <c r="D14" s="299">
        <v>9</v>
      </c>
      <c r="E14" s="304">
        <v>30000</v>
      </c>
      <c r="F14" s="304">
        <f t="shared" si="0"/>
        <v>540000</v>
      </c>
      <c r="G14" s="380"/>
      <c r="H14" s="247"/>
      <c r="I14" s="247"/>
      <c r="J14" s="247"/>
      <c r="K14" s="247"/>
      <c r="L14" s="247"/>
      <c r="M14" s="247"/>
    </row>
    <row r="15" spans="1:13">
      <c r="A15" s="300" t="s">
        <v>628</v>
      </c>
      <c r="B15" s="299" t="s">
        <v>556</v>
      </c>
      <c r="C15" s="300">
        <v>2</v>
      </c>
      <c r="D15" s="299">
        <v>6</v>
      </c>
      <c r="E15" s="304">
        <v>12500</v>
      </c>
      <c r="F15" s="304">
        <f t="shared" si="0"/>
        <v>150000</v>
      </c>
      <c r="G15" s="380"/>
      <c r="H15" s="247"/>
      <c r="I15" s="247"/>
      <c r="J15" s="247"/>
      <c r="K15" s="247"/>
      <c r="L15" s="247"/>
      <c r="M15" s="247"/>
    </row>
    <row r="16" spans="1:13">
      <c r="A16" s="300" t="s">
        <v>629</v>
      </c>
      <c r="B16" s="299" t="s">
        <v>556</v>
      </c>
      <c r="C16" s="300">
        <v>2</v>
      </c>
      <c r="D16" s="299">
        <v>6</v>
      </c>
      <c r="E16" s="304">
        <v>12500</v>
      </c>
      <c r="F16" s="304">
        <f t="shared" si="0"/>
        <v>150000</v>
      </c>
      <c r="G16" s="380"/>
      <c r="H16" s="247"/>
      <c r="I16" s="247"/>
      <c r="J16" s="247"/>
      <c r="K16" s="247"/>
      <c r="L16" s="247"/>
      <c r="M16" s="247"/>
    </row>
    <row r="17" spans="1:13">
      <c r="A17" s="300"/>
      <c r="B17" s="299"/>
      <c r="C17" s="300"/>
      <c r="D17" s="299"/>
      <c r="E17" s="304"/>
      <c r="F17" s="304"/>
      <c r="G17" s="380"/>
      <c r="H17" s="247"/>
      <c r="I17" s="247"/>
      <c r="J17" s="247"/>
      <c r="K17" s="247"/>
      <c r="L17" s="247"/>
      <c r="M17" s="247"/>
    </row>
    <row r="18" spans="1:13">
      <c r="A18" s="300" t="s">
        <v>616</v>
      </c>
      <c r="B18" s="299" t="s">
        <v>556</v>
      </c>
      <c r="C18" s="300">
        <v>2</v>
      </c>
      <c r="D18" s="299">
        <v>7</v>
      </c>
      <c r="E18" s="304">
        <v>30000</v>
      </c>
      <c r="F18" s="304">
        <f t="shared" ref="F18:F31" si="1">C18*D18*E18</f>
        <v>420000</v>
      </c>
      <c r="G18" s="380"/>
      <c r="H18" s="247"/>
      <c r="I18" s="247"/>
      <c r="J18" s="247"/>
      <c r="K18" s="247"/>
      <c r="L18" s="247"/>
      <c r="M18" s="247"/>
    </row>
    <row r="19" spans="1:13">
      <c r="A19" s="300" t="s">
        <v>622</v>
      </c>
      <c r="B19" s="299" t="s">
        <v>556</v>
      </c>
      <c r="C19" s="300">
        <v>1</v>
      </c>
      <c r="D19" s="299">
        <v>7</v>
      </c>
      <c r="E19" s="304">
        <v>30000</v>
      </c>
      <c r="F19" s="304">
        <f t="shared" si="1"/>
        <v>210000</v>
      </c>
      <c r="G19" s="380"/>
      <c r="H19" s="247"/>
      <c r="I19" s="247"/>
      <c r="J19" s="247"/>
      <c r="K19" s="247"/>
      <c r="L19" s="247"/>
      <c r="M19" s="247"/>
    </row>
    <row r="20" spans="1:13">
      <c r="A20" s="300" t="s">
        <v>630</v>
      </c>
      <c r="B20" s="299" t="s">
        <v>556</v>
      </c>
      <c r="C20" s="300">
        <v>2</v>
      </c>
      <c r="D20" s="299">
        <v>5</v>
      </c>
      <c r="E20" s="304">
        <v>12500</v>
      </c>
      <c r="F20" s="304">
        <f t="shared" si="1"/>
        <v>125000</v>
      </c>
      <c r="G20" s="380"/>
      <c r="H20" s="247"/>
      <c r="I20" s="247"/>
      <c r="J20" s="247"/>
      <c r="K20" s="247"/>
      <c r="L20" s="247"/>
      <c r="M20" s="247"/>
    </row>
    <row r="21" spans="1:13">
      <c r="A21" s="300"/>
      <c r="B21" s="299"/>
      <c r="C21" s="300"/>
      <c r="D21" s="299"/>
      <c r="E21" s="304"/>
      <c r="F21" s="304"/>
      <c r="G21" s="380"/>
      <c r="H21" s="247"/>
      <c r="I21" s="247"/>
      <c r="J21" s="247"/>
      <c r="K21" s="247"/>
      <c r="L21" s="247"/>
      <c r="M21" s="247"/>
    </row>
    <row r="22" spans="1:13">
      <c r="A22" s="300" t="s">
        <v>617</v>
      </c>
      <c r="B22" s="299" t="s">
        <v>556</v>
      </c>
      <c r="C22" s="300">
        <v>2</v>
      </c>
      <c r="D22" s="299">
        <v>5</v>
      </c>
      <c r="E22" s="304">
        <v>30000</v>
      </c>
      <c r="F22" s="304">
        <f t="shared" si="1"/>
        <v>300000</v>
      </c>
      <c r="G22" s="380"/>
      <c r="H22" s="247"/>
      <c r="I22" s="247"/>
      <c r="J22" s="247"/>
      <c r="K22" s="247"/>
      <c r="L22" s="247"/>
      <c r="M22" s="247"/>
    </row>
    <row r="23" spans="1:13">
      <c r="A23" s="300" t="s">
        <v>623</v>
      </c>
      <c r="B23" s="299" t="s">
        <v>556</v>
      </c>
      <c r="C23" s="300">
        <v>1</v>
      </c>
      <c r="D23" s="299">
        <v>5</v>
      </c>
      <c r="E23" s="304">
        <v>30000</v>
      </c>
      <c r="F23" s="304">
        <f t="shared" si="1"/>
        <v>150000</v>
      </c>
      <c r="G23" s="380"/>
      <c r="H23" s="247"/>
      <c r="I23" s="247"/>
      <c r="J23" s="247"/>
      <c r="K23" s="247"/>
      <c r="L23" s="247"/>
      <c r="M23" s="247"/>
    </row>
    <row r="24" spans="1:13">
      <c r="A24" s="300" t="s">
        <v>631</v>
      </c>
      <c r="B24" s="299" t="s">
        <v>556</v>
      </c>
      <c r="C24" s="300">
        <v>2</v>
      </c>
      <c r="D24" s="299">
        <v>5</v>
      </c>
      <c r="E24" s="304">
        <v>12500</v>
      </c>
      <c r="F24" s="304">
        <f t="shared" ref="F24" si="2">C24*D24*E24</f>
        <v>125000</v>
      </c>
      <c r="G24" s="380"/>
      <c r="H24" s="247"/>
      <c r="I24" s="247"/>
      <c r="J24" s="247"/>
      <c r="K24" s="247"/>
      <c r="L24" s="247"/>
      <c r="M24" s="247"/>
    </row>
    <row r="25" spans="1:13">
      <c r="A25" s="300"/>
      <c r="B25" s="299"/>
      <c r="C25" s="300"/>
      <c r="D25" s="299"/>
      <c r="E25" s="304"/>
      <c r="F25" s="304"/>
      <c r="G25" s="380"/>
      <c r="H25" s="247"/>
      <c r="I25" s="247"/>
      <c r="J25" s="247"/>
      <c r="K25" s="247"/>
      <c r="L25" s="247"/>
      <c r="M25" s="247"/>
    </row>
    <row r="26" spans="1:13">
      <c r="A26" s="300" t="s">
        <v>619</v>
      </c>
      <c r="B26" s="299" t="s">
        <v>556</v>
      </c>
      <c r="C26" s="300">
        <v>2</v>
      </c>
      <c r="D26" s="299">
        <v>8</v>
      </c>
      <c r="E26" s="304">
        <v>30000</v>
      </c>
      <c r="F26" s="304">
        <f t="shared" si="1"/>
        <v>480000</v>
      </c>
      <c r="G26" s="380"/>
      <c r="H26" s="247"/>
      <c r="I26" s="247"/>
      <c r="J26" s="247"/>
      <c r="K26" s="247"/>
      <c r="L26" s="247"/>
      <c r="M26" s="247"/>
    </row>
    <row r="27" spans="1:13">
      <c r="A27" s="300" t="s">
        <v>624</v>
      </c>
      <c r="B27" s="299" t="s">
        <v>556</v>
      </c>
      <c r="C27" s="300">
        <v>1</v>
      </c>
      <c r="D27" s="299">
        <v>8</v>
      </c>
      <c r="E27" s="304">
        <v>30000</v>
      </c>
      <c r="F27" s="304">
        <f t="shared" si="1"/>
        <v>240000</v>
      </c>
      <c r="G27" s="380"/>
      <c r="H27" s="247"/>
      <c r="I27" s="247"/>
      <c r="J27" s="247"/>
      <c r="K27" s="247"/>
      <c r="L27" s="247"/>
      <c r="M27" s="247"/>
    </row>
    <row r="28" spans="1:13">
      <c r="A28" s="300" t="s">
        <v>632</v>
      </c>
      <c r="B28" s="299" t="s">
        <v>556</v>
      </c>
      <c r="C28" s="300">
        <v>2</v>
      </c>
      <c r="D28" s="299">
        <v>6</v>
      </c>
      <c r="E28" s="304">
        <v>12500</v>
      </c>
      <c r="F28" s="304">
        <f t="shared" ref="F28" si="3">C28*D28*E28</f>
        <v>150000</v>
      </c>
      <c r="G28" s="380"/>
      <c r="H28" s="247"/>
      <c r="I28" s="247"/>
      <c r="J28" s="247"/>
      <c r="K28" s="247"/>
      <c r="L28" s="247"/>
      <c r="M28" s="247"/>
    </row>
    <row r="29" spans="1:13">
      <c r="A29" s="300"/>
      <c r="B29" s="299"/>
      <c r="C29" s="300"/>
      <c r="D29" s="299"/>
      <c r="E29" s="304"/>
      <c r="F29" s="304"/>
      <c r="G29" s="380"/>
      <c r="H29" s="247"/>
      <c r="I29" s="247"/>
      <c r="J29" s="247"/>
      <c r="K29" s="247"/>
      <c r="L29" s="247"/>
      <c r="M29" s="247"/>
    </row>
    <row r="30" spans="1:13">
      <c r="A30" s="300" t="s">
        <v>620</v>
      </c>
      <c r="B30" s="299" t="s">
        <v>556</v>
      </c>
      <c r="C30" s="300">
        <v>2</v>
      </c>
      <c r="D30" s="299">
        <v>5</v>
      </c>
      <c r="E30" s="304">
        <v>30000</v>
      </c>
      <c r="F30" s="304">
        <f t="shared" si="1"/>
        <v>300000</v>
      </c>
      <c r="G30" s="380"/>
      <c r="H30" s="247"/>
      <c r="I30" s="247"/>
      <c r="J30" s="247"/>
      <c r="K30" s="247"/>
      <c r="L30" s="247"/>
      <c r="M30" s="247"/>
    </row>
    <row r="31" spans="1:13">
      <c r="A31" s="300" t="s">
        <v>625</v>
      </c>
      <c r="B31" s="299" t="s">
        <v>556</v>
      </c>
      <c r="C31" s="300">
        <v>1</v>
      </c>
      <c r="D31" s="299">
        <v>5</v>
      </c>
      <c r="E31" s="304">
        <v>30000</v>
      </c>
      <c r="F31" s="304">
        <f t="shared" si="1"/>
        <v>150000</v>
      </c>
      <c r="G31" s="380"/>
      <c r="H31" s="247"/>
      <c r="I31" s="247"/>
      <c r="J31" s="247"/>
      <c r="K31" s="247"/>
      <c r="L31" s="247"/>
      <c r="M31" s="247"/>
    </row>
    <row r="32" spans="1:13">
      <c r="A32" s="300" t="s">
        <v>633</v>
      </c>
      <c r="B32" s="299" t="s">
        <v>556</v>
      </c>
      <c r="C32" s="300">
        <v>2</v>
      </c>
      <c r="D32" s="299">
        <v>5</v>
      </c>
      <c r="E32" s="304">
        <v>12500</v>
      </c>
      <c r="F32" s="304">
        <f t="shared" ref="F32" si="4">C32*D32*E32</f>
        <v>125000</v>
      </c>
      <c r="G32" s="380"/>
      <c r="H32" s="247"/>
      <c r="I32" s="247"/>
      <c r="J32" s="247"/>
      <c r="K32" s="247"/>
      <c r="L32" s="247"/>
      <c r="M32" s="247"/>
    </row>
    <row r="33" spans="1:13">
      <c r="A33" s="300"/>
      <c r="B33" s="299"/>
      <c r="C33" s="300"/>
      <c r="D33" s="299"/>
      <c r="E33" s="304"/>
      <c r="F33" s="304"/>
      <c r="G33" s="380"/>
      <c r="H33" s="247"/>
      <c r="I33" s="247"/>
      <c r="J33" s="247"/>
      <c r="K33" s="247"/>
      <c r="L33" s="247"/>
      <c r="M33" s="247"/>
    </row>
    <row r="34" spans="1:13">
      <c r="A34" s="300" t="s">
        <v>626</v>
      </c>
      <c r="B34" s="299" t="s">
        <v>556</v>
      </c>
      <c r="C34" s="300">
        <v>2</v>
      </c>
      <c r="D34" s="299">
        <v>8</v>
      </c>
      <c r="E34" s="304">
        <v>30000</v>
      </c>
      <c r="F34" s="304">
        <f t="shared" ref="F34:F36" si="5">C34*D34*E34</f>
        <v>480000</v>
      </c>
      <c r="G34" s="380"/>
      <c r="H34" s="247"/>
      <c r="I34" s="247"/>
      <c r="J34" s="247"/>
      <c r="K34" s="247"/>
      <c r="L34" s="247"/>
      <c r="M34" s="247"/>
    </row>
    <row r="35" spans="1:13">
      <c r="A35" s="300" t="s">
        <v>626</v>
      </c>
      <c r="B35" s="299" t="s">
        <v>556</v>
      </c>
      <c r="C35" s="300">
        <v>1</v>
      </c>
      <c r="D35" s="299">
        <v>8</v>
      </c>
      <c r="E35" s="304">
        <v>30000</v>
      </c>
      <c r="F35" s="304">
        <f t="shared" si="5"/>
        <v>240000</v>
      </c>
      <c r="G35" s="380"/>
      <c r="H35" s="247"/>
      <c r="I35" s="247"/>
      <c r="J35" s="247"/>
      <c r="K35" s="247"/>
      <c r="L35" s="247"/>
      <c r="M35" s="247"/>
    </row>
    <row r="36" spans="1:13">
      <c r="A36" s="300" t="s">
        <v>634</v>
      </c>
      <c r="B36" s="299" t="s">
        <v>556</v>
      </c>
      <c r="C36" s="300">
        <v>2</v>
      </c>
      <c r="D36" s="299">
        <v>6</v>
      </c>
      <c r="E36" s="304">
        <v>12500</v>
      </c>
      <c r="F36" s="304">
        <f t="shared" si="5"/>
        <v>150000</v>
      </c>
      <c r="G36" s="380"/>
      <c r="H36" s="247"/>
      <c r="I36" s="247"/>
      <c r="J36" s="247"/>
      <c r="K36" s="247"/>
      <c r="L36" s="247"/>
      <c r="M36" s="247"/>
    </row>
    <row r="37" spans="1:13">
      <c r="A37" s="300"/>
      <c r="B37" s="299"/>
      <c r="C37" s="300"/>
      <c r="D37" s="299"/>
      <c r="E37" s="304"/>
      <c r="F37" s="304"/>
      <c r="G37" s="380"/>
      <c r="H37" s="247"/>
      <c r="I37" s="247"/>
      <c r="J37" s="247"/>
      <c r="K37" s="247"/>
      <c r="L37" s="247"/>
      <c r="M37" s="247"/>
    </row>
    <row r="38" spans="1:13">
      <c r="A38" s="531" t="s">
        <v>637</v>
      </c>
      <c r="B38" s="532"/>
      <c r="C38" s="532"/>
      <c r="D38" s="532"/>
      <c r="E38" s="532"/>
      <c r="F38" s="533"/>
      <c r="G38" s="380"/>
      <c r="H38" s="247"/>
      <c r="I38" s="247"/>
      <c r="J38" s="247"/>
      <c r="K38" s="247"/>
      <c r="L38" s="247"/>
      <c r="M38" s="247"/>
    </row>
    <row r="39" spans="1:13">
      <c r="A39" s="300" t="s">
        <v>636</v>
      </c>
      <c r="B39" s="299" t="s">
        <v>607</v>
      </c>
      <c r="C39" s="356">
        <f>(60+90*2+300+140+200+220*2+230+300*2+300)*2*0.2+(50*5*14*0.2)+100*2*5</f>
        <v>2680</v>
      </c>
      <c r="D39" s="299">
        <v>1</v>
      </c>
      <c r="E39" s="304">
        <v>800</v>
      </c>
      <c r="F39" s="304">
        <f t="shared" ref="F39:F49" si="6">C39*D39*E39</f>
        <v>2144000</v>
      </c>
      <c r="G39" s="380"/>
      <c r="H39" s="247"/>
      <c r="I39" s="247"/>
      <c r="J39" s="247"/>
      <c r="K39" s="247"/>
      <c r="L39" s="247"/>
      <c r="M39" s="247"/>
    </row>
    <row r="40" spans="1:13">
      <c r="A40" s="300" t="s">
        <v>448</v>
      </c>
      <c r="B40" s="299" t="s">
        <v>607</v>
      </c>
      <c r="C40" s="356">
        <v>200</v>
      </c>
      <c r="D40" s="299">
        <v>2</v>
      </c>
      <c r="E40" s="304">
        <v>1000</v>
      </c>
      <c r="F40" s="304">
        <f t="shared" si="6"/>
        <v>400000</v>
      </c>
      <c r="G40" s="380"/>
      <c r="H40" s="247"/>
      <c r="I40" s="247"/>
      <c r="J40" s="247"/>
      <c r="K40" s="247"/>
      <c r="L40" s="247"/>
      <c r="M40" s="247"/>
    </row>
    <row r="41" spans="1:13">
      <c r="A41" s="300" t="s">
        <v>502</v>
      </c>
      <c r="B41" s="299" t="s">
        <v>607</v>
      </c>
      <c r="C41" s="341">
        <v>10</v>
      </c>
      <c r="D41" s="299">
        <v>1</v>
      </c>
      <c r="E41" s="304">
        <v>6000</v>
      </c>
      <c r="F41" s="304">
        <f t="shared" si="6"/>
        <v>60000</v>
      </c>
      <c r="G41" s="247"/>
      <c r="H41" s="247"/>
      <c r="I41" s="247"/>
      <c r="J41" s="247"/>
      <c r="K41" s="247"/>
      <c r="L41" s="247"/>
      <c r="M41" s="247"/>
    </row>
    <row r="42" spans="1:13">
      <c r="A42" s="300" t="s">
        <v>442</v>
      </c>
      <c r="B42" s="299"/>
      <c r="C42" s="355">
        <v>8</v>
      </c>
      <c r="D42" s="299">
        <v>2</v>
      </c>
      <c r="E42" s="304">
        <v>500</v>
      </c>
      <c r="F42" s="304">
        <f t="shared" si="6"/>
        <v>8000</v>
      </c>
      <c r="G42" s="380"/>
      <c r="H42" s="247"/>
      <c r="I42" s="247"/>
      <c r="J42" s="247"/>
      <c r="K42" s="247"/>
      <c r="L42" s="247"/>
      <c r="M42" s="247"/>
    </row>
    <row r="43" spans="1:13">
      <c r="A43" s="300" t="s">
        <v>443</v>
      </c>
      <c r="B43" s="369"/>
      <c r="C43" s="371">
        <v>1</v>
      </c>
      <c r="D43" s="369">
        <v>2</v>
      </c>
      <c r="E43" s="370">
        <v>2500</v>
      </c>
      <c r="F43" s="304">
        <f t="shared" si="6"/>
        <v>5000</v>
      </c>
      <c r="G43" s="380"/>
      <c r="H43" s="247"/>
      <c r="I43" s="247"/>
      <c r="J43" s="247"/>
      <c r="K43" s="247"/>
      <c r="L43" s="247"/>
      <c r="M43" s="247"/>
    </row>
    <row r="44" spans="1:13">
      <c r="A44" s="300" t="s">
        <v>449</v>
      </c>
      <c r="B44" s="369"/>
      <c r="C44" s="371">
        <v>1</v>
      </c>
      <c r="D44" s="369">
        <v>2</v>
      </c>
      <c r="E44" s="370">
        <v>30000</v>
      </c>
      <c r="F44" s="304">
        <f t="shared" si="6"/>
        <v>60000</v>
      </c>
      <c r="G44" s="380"/>
      <c r="H44" s="247"/>
      <c r="I44" s="247"/>
      <c r="J44" s="247"/>
      <c r="K44" s="247"/>
      <c r="L44" s="247"/>
      <c r="M44" s="247"/>
    </row>
    <row r="45" spans="1:13">
      <c r="A45" s="300" t="s">
        <v>450</v>
      </c>
      <c r="B45" s="299"/>
      <c r="C45" s="355">
        <v>1</v>
      </c>
      <c r="D45" s="299">
        <v>2</v>
      </c>
      <c r="E45" s="304">
        <v>50000</v>
      </c>
      <c r="F45" s="304">
        <f t="shared" si="6"/>
        <v>100000</v>
      </c>
      <c r="G45" s="380"/>
      <c r="H45" s="247"/>
      <c r="I45" s="247"/>
      <c r="J45" s="247"/>
      <c r="K45" s="247"/>
      <c r="L45" s="247"/>
      <c r="M45" s="247"/>
    </row>
    <row r="46" spans="1:13">
      <c r="A46" s="300" t="s">
        <v>447</v>
      </c>
      <c r="B46" s="299"/>
      <c r="C46" s="355">
        <v>1</v>
      </c>
      <c r="D46" s="299">
        <v>2</v>
      </c>
      <c r="E46" s="304">
        <v>40000</v>
      </c>
      <c r="F46" s="304">
        <f t="shared" si="6"/>
        <v>80000</v>
      </c>
      <c r="G46" s="380"/>
      <c r="H46" s="247"/>
      <c r="I46" s="247"/>
      <c r="J46" s="247"/>
      <c r="K46" s="247"/>
      <c r="L46" s="247"/>
      <c r="M46" s="247"/>
    </row>
    <row r="47" spans="1:13">
      <c r="A47" s="300" t="s">
        <v>446</v>
      </c>
      <c r="B47" s="299"/>
      <c r="C47" s="355">
        <v>1</v>
      </c>
      <c r="D47" s="299">
        <v>2</v>
      </c>
      <c r="E47" s="304">
        <v>50000</v>
      </c>
      <c r="F47" s="304">
        <f t="shared" si="6"/>
        <v>100000</v>
      </c>
      <c r="G47" s="380"/>
      <c r="H47" s="247"/>
      <c r="I47" s="247"/>
      <c r="J47" s="247"/>
      <c r="K47" s="247"/>
      <c r="L47" s="247"/>
      <c r="M47" s="247"/>
    </row>
    <row r="48" spans="1:13">
      <c r="A48" s="303" t="s">
        <v>638</v>
      </c>
      <c r="B48" s="361"/>
      <c r="C48" s="447">
        <v>2250</v>
      </c>
      <c r="D48" s="361">
        <v>1</v>
      </c>
      <c r="E48" s="413">
        <v>100</v>
      </c>
      <c r="F48" s="304">
        <f t="shared" si="6"/>
        <v>225000</v>
      </c>
      <c r="G48" s="380"/>
      <c r="H48" s="247"/>
      <c r="I48" s="247"/>
      <c r="J48" s="247"/>
      <c r="K48" s="247"/>
      <c r="L48" s="247"/>
      <c r="M48" s="247"/>
    </row>
    <row r="49" spans="1:13">
      <c r="A49" s="303" t="s">
        <v>639</v>
      </c>
      <c r="B49" s="361"/>
      <c r="C49" s="447">
        <v>14</v>
      </c>
      <c r="D49" s="361">
        <v>1</v>
      </c>
      <c r="E49" s="413">
        <v>5000</v>
      </c>
      <c r="F49" s="304">
        <f t="shared" si="6"/>
        <v>70000</v>
      </c>
      <c r="G49" s="380"/>
      <c r="H49" s="247"/>
      <c r="I49" s="247"/>
      <c r="J49" s="247"/>
      <c r="K49" s="247"/>
      <c r="L49" s="247"/>
      <c r="M49" s="247"/>
    </row>
    <row r="50" spans="1:13">
      <c r="A50" s="534" t="s">
        <v>406</v>
      </c>
      <c r="B50" s="535"/>
      <c r="C50" s="535"/>
      <c r="D50" s="535"/>
      <c r="E50" s="536"/>
      <c r="F50" s="433">
        <f>SUM(F39:F49)</f>
        <v>3252000</v>
      </c>
      <c r="G50" s="380"/>
      <c r="H50" s="247"/>
      <c r="I50" s="247"/>
      <c r="J50" s="247"/>
      <c r="K50" s="247"/>
      <c r="L50" s="247"/>
      <c r="M50" s="247"/>
    </row>
    <row r="51" spans="1:13" s="385" customFormat="1" ht="20.5">
      <c r="A51" s="517" t="s">
        <v>564</v>
      </c>
      <c r="B51" s="517"/>
      <c r="C51" s="428"/>
    </row>
    <row r="52" spans="1:13">
      <c r="A52" s="248"/>
    </row>
  </sheetData>
  <mergeCells count="7">
    <mergeCell ref="A51:B51"/>
    <mergeCell ref="A1:L1"/>
    <mergeCell ref="A6:E6"/>
    <mergeCell ref="G6:L6"/>
    <mergeCell ref="A50:E50"/>
    <mergeCell ref="A8:F8"/>
    <mergeCell ref="A38:F38"/>
  </mergeCells>
  <conditionalFormatting sqref="E51">
    <cfRule type="cellIs" dxfId="4" priority="1" stopIfTrue="1" operator="equal">
      <formula>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sheetPr>
  <dimension ref="A1:M32"/>
  <sheetViews>
    <sheetView topLeftCell="A2" zoomScale="110" zoomScaleNormal="110" workbookViewId="0">
      <selection activeCell="A5" sqref="A5:XFD5"/>
    </sheetView>
  </sheetViews>
  <sheetFormatPr defaultColWidth="10" defaultRowHeight="15.5"/>
  <cols>
    <col min="1" max="1" width="68.83203125" style="307" customWidth="1"/>
    <col min="2" max="2" width="12.5" style="308"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ht="17.25" customHeigh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ht="17.25" customHeight="1">
      <c r="A5" s="295" t="s">
        <v>389</v>
      </c>
      <c r="B5" s="315">
        <f>F31</f>
        <v>3830000</v>
      </c>
      <c r="C5" s="295"/>
      <c r="D5" s="295"/>
      <c r="E5" s="295"/>
      <c r="F5" s="296"/>
      <c r="G5" s="246"/>
      <c r="H5" s="246"/>
      <c r="I5" s="246"/>
      <c r="J5" s="246"/>
      <c r="K5" s="246"/>
      <c r="L5" s="246"/>
      <c r="M5" s="246"/>
    </row>
    <row r="6" spans="1:13" s="245" customFormat="1" ht="19.5" customHeight="1">
      <c r="A6" s="529" t="s">
        <v>416</v>
      </c>
      <c r="B6" s="529"/>
      <c r="C6" s="529"/>
      <c r="D6" s="529"/>
      <c r="E6" s="530"/>
      <c r="F6" s="298"/>
      <c r="G6" s="520" t="s">
        <v>390</v>
      </c>
      <c r="H6" s="521"/>
      <c r="I6" s="521"/>
      <c r="J6" s="521"/>
      <c r="K6" s="521"/>
      <c r="L6" s="522"/>
      <c r="M6" s="247" t="s">
        <v>391</v>
      </c>
    </row>
    <row r="7" spans="1:13" ht="22.5" customHeight="1">
      <c r="A7" s="423" t="s">
        <v>427</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8" customHeight="1">
      <c r="A8" s="415" t="s">
        <v>503</v>
      </c>
      <c r="B8" s="247"/>
      <c r="C8" s="393"/>
      <c r="D8" s="247"/>
      <c r="E8" s="421"/>
      <c r="F8" s="422"/>
      <c r="G8" s="247"/>
      <c r="H8" s="247"/>
      <c r="I8" s="247"/>
      <c r="J8" s="247"/>
      <c r="K8" s="247"/>
      <c r="L8" s="247"/>
      <c r="M8" s="247"/>
    </row>
    <row r="9" spans="1:13" ht="25.5" customHeight="1">
      <c r="A9" s="357" t="s">
        <v>560</v>
      </c>
      <c r="B9" s="299"/>
      <c r="C9" s="300">
        <v>8</v>
      </c>
      <c r="D9" s="299">
        <v>3</v>
      </c>
      <c r="E9" s="304">
        <v>30000</v>
      </c>
      <c r="F9" s="304">
        <f>C9*D9*E9</f>
        <v>720000</v>
      </c>
      <c r="G9" s="247"/>
      <c r="H9" s="247"/>
      <c r="I9" s="247"/>
      <c r="J9" s="247"/>
      <c r="K9" s="247"/>
      <c r="L9" s="247"/>
      <c r="M9" s="247"/>
    </row>
    <row r="10" spans="1:13" ht="18" customHeight="1">
      <c r="A10" s="353" t="s">
        <v>558</v>
      </c>
      <c r="B10" s="299"/>
      <c r="C10" s="300">
        <v>4</v>
      </c>
      <c r="D10" s="299">
        <v>3</v>
      </c>
      <c r="E10" s="304">
        <v>30000</v>
      </c>
      <c r="F10" s="304">
        <f t="shared" ref="F10:F13" si="0">C10*D10*E10</f>
        <v>360000</v>
      </c>
      <c r="G10" s="247"/>
      <c r="H10" s="247"/>
      <c r="I10" s="247"/>
      <c r="J10" s="247"/>
      <c r="K10" s="247"/>
      <c r="L10" s="247"/>
      <c r="M10" s="247"/>
    </row>
    <row r="11" spans="1:13" ht="24.75" customHeight="1">
      <c r="A11" s="357" t="s">
        <v>559</v>
      </c>
      <c r="B11" s="299"/>
      <c r="C11" s="300">
        <v>2</v>
      </c>
      <c r="D11" s="299">
        <v>1</v>
      </c>
      <c r="E11" s="304">
        <v>30000</v>
      </c>
      <c r="F11" s="304">
        <f t="shared" si="0"/>
        <v>60000</v>
      </c>
      <c r="G11" s="247"/>
      <c r="H11" s="247"/>
      <c r="I11" s="247"/>
      <c r="J11" s="247"/>
      <c r="K11" s="247"/>
      <c r="L11" s="247"/>
      <c r="M11" s="247"/>
    </row>
    <row r="12" spans="1:13" ht="17.25" customHeight="1">
      <c r="A12" s="353" t="s">
        <v>525</v>
      </c>
      <c r="B12" s="299"/>
      <c r="C12" s="300">
        <v>1</v>
      </c>
      <c r="D12" s="299">
        <v>1</v>
      </c>
      <c r="E12" s="304">
        <v>30000</v>
      </c>
      <c r="F12" s="304">
        <f t="shared" si="0"/>
        <v>30000</v>
      </c>
      <c r="G12" s="247"/>
      <c r="H12" s="247"/>
      <c r="I12" s="247"/>
      <c r="J12" s="247"/>
      <c r="K12" s="247"/>
      <c r="L12" s="247"/>
      <c r="M12" s="247"/>
    </row>
    <row r="13" spans="1:13" ht="24.75" customHeight="1">
      <c r="A13" s="357" t="s">
        <v>504</v>
      </c>
      <c r="B13" s="299"/>
      <c r="C13" s="300">
        <v>2</v>
      </c>
      <c r="D13" s="299">
        <v>5</v>
      </c>
      <c r="E13" s="304">
        <v>30000</v>
      </c>
      <c r="F13" s="304">
        <f t="shared" si="0"/>
        <v>300000</v>
      </c>
      <c r="G13" s="247"/>
      <c r="H13" s="247"/>
      <c r="I13" s="247"/>
      <c r="J13" s="247"/>
      <c r="K13" s="247"/>
      <c r="L13" s="247"/>
      <c r="M13" s="247"/>
    </row>
    <row r="14" spans="1:13" ht="15" customHeight="1">
      <c r="A14" s="353" t="s">
        <v>513</v>
      </c>
      <c r="B14" s="299"/>
      <c r="C14" s="300">
        <v>2</v>
      </c>
      <c r="D14" s="299">
        <v>1</v>
      </c>
      <c r="E14" s="304">
        <v>7500</v>
      </c>
      <c r="F14" s="304">
        <f>C14*D14*E14</f>
        <v>15000</v>
      </c>
      <c r="G14" s="247"/>
      <c r="H14" s="247"/>
      <c r="I14" s="247"/>
      <c r="J14" s="247"/>
      <c r="K14" s="247"/>
      <c r="L14" s="247"/>
      <c r="M14" s="247"/>
    </row>
    <row r="15" spans="1:13" ht="15" customHeight="1">
      <c r="A15" s="353" t="s">
        <v>505</v>
      </c>
      <c r="B15" s="299"/>
      <c r="C15" s="300">
        <v>22</v>
      </c>
      <c r="D15" s="299">
        <v>1</v>
      </c>
      <c r="E15" s="304">
        <v>7500</v>
      </c>
      <c r="F15" s="304">
        <f t="shared" ref="F15" si="1">C15*D15*E15</f>
        <v>165000</v>
      </c>
      <c r="G15" s="247"/>
      <c r="H15" s="247"/>
      <c r="I15" s="247"/>
      <c r="J15" s="247"/>
      <c r="K15" s="247"/>
      <c r="L15" s="247"/>
      <c r="M15" s="247"/>
    </row>
    <row r="16" spans="1:13" ht="15" customHeight="1">
      <c r="A16" s="353" t="s">
        <v>506</v>
      </c>
      <c r="B16" s="299"/>
      <c r="C16" s="300">
        <v>10</v>
      </c>
      <c r="D16" s="299">
        <v>1</v>
      </c>
      <c r="E16" s="304">
        <v>7500</v>
      </c>
      <c r="F16" s="304">
        <f>C16*D16*E16</f>
        <v>75000</v>
      </c>
      <c r="G16" s="247"/>
      <c r="H16" s="247"/>
      <c r="I16" s="247"/>
      <c r="J16" s="247"/>
      <c r="K16" s="247"/>
      <c r="L16" s="247"/>
      <c r="M16" s="247"/>
    </row>
    <row r="17" spans="1:13" ht="15" customHeight="1">
      <c r="A17" s="353" t="s">
        <v>511</v>
      </c>
      <c r="B17" s="299"/>
      <c r="C17" s="300">
        <v>4</v>
      </c>
      <c r="D17" s="299">
        <v>1</v>
      </c>
      <c r="E17" s="304">
        <v>7500</v>
      </c>
      <c r="F17" s="304">
        <f>C17*D17*E17</f>
        <v>30000</v>
      </c>
      <c r="G17" s="247"/>
      <c r="H17" s="247"/>
      <c r="I17" s="247"/>
      <c r="J17" s="247"/>
      <c r="K17" s="247"/>
      <c r="L17" s="247"/>
      <c r="M17" s="247"/>
    </row>
    <row r="18" spans="1:13" ht="15" customHeight="1">
      <c r="A18" s="353" t="s">
        <v>507</v>
      </c>
      <c r="B18" s="299"/>
      <c r="C18" s="300">
        <v>2</v>
      </c>
      <c r="D18" s="299">
        <v>1</v>
      </c>
      <c r="E18" s="304">
        <v>7500</v>
      </c>
      <c r="F18" s="304">
        <f t="shared" ref="F18:F22" si="2">C18*D18*E18</f>
        <v>15000</v>
      </c>
      <c r="G18" s="247"/>
      <c r="H18" s="247"/>
      <c r="I18" s="247"/>
      <c r="J18" s="247"/>
      <c r="K18" s="247"/>
      <c r="L18" s="247"/>
      <c r="M18" s="247"/>
    </row>
    <row r="19" spans="1:13" ht="15" customHeight="1">
      <c r="A19" s="353" t="s">
        <v>509</v>
      </c>
      <c r="B19" s="299"/>
      <c r="C19" s="300">
        <v>4</v>
      </c>
      <c r="D19" s="299">
        <v>1</v>
      </c>
      <c r="E19" s="304">
        <v>7500</v>
      </c>
      <c r="F19" s="304">
        <f t="shared" si="2"/>
        <v>30000</v>
      </c>
      <c r="G19" s="247"/>
      <c r="H19" s="247"/>
      <c r="I19" s="247"/>
      <c r="J19" s="247"/>
      <c r="K19" s="247"/>
      <c r="L19" s="247"/>
      <c r="M19" s="247"/>
    </row>
    <row r="20" spans="1:13" ht="15" customHeight="1">
      <c r="A20" s="353" t="s">
        <v>510</v>
      </c>
      <c r="B20" s="299"/>
      <c r="C20" s="300">
        <v>1</v>
      </c>
      <c r="D20" s="299">
        <v>1</v>
      </c>
      <c r="E20" s="304">
        <v>7500</v>
      </c>
      <c r="F20" s="304">
        <f t="shared" si="2"/>
        <v>7500</v>
      </c>
      <c r="G20" s="247"/>
      <c r="H20" s="247"/>
      <c r="I20" s="247"/>
      <c r="J20" s="247"/>
      <c r="K20" s="247"/>
      <c r="L20" s="247"/>
      <c r="M20" s="247"/>
    </row>
    <row r="21" spans="1:13" ht="15" customHeight="1">
      <c r="A21" s="353" t="s">
        <v>508</v>
      </c>
      <c r="B21" s="299"/>
      <c r="C21" s="300">
        <v>1</v>
      </c>
      <c r="D21" s="299">
        <v>1</v>
      </c>
      <c r="E21" s="304">
        <v>7500</v>
      </c>
      <c r="F21" s="304">
        <f t="shared" si="2"/>
        <v>7500</v>
      </c>
      <c r="G21" s="247"/>
      <c r="H21" s="247"/>
      <c r="I21" s="247"/>
      <c r="J21" s="247"/>
      <c r="K21" s="247"/>
      <c r="L21" s="247"/>
      <c r="M21" s="247"/>
    </row>
    <row r="22" spans="1:13" ht="15" customHeight="1">
      <c r="A22" s="353" t="s">
        <v>641</v>
      </c>
      <c r="B22" s="299"/>
      <c r="C22" s="300">
        <v>7</v>
      </c>
      <c r="D22" s="299">
        <v>1</v>
      </c>
      <c r="E22" s="304">
        <v>0</v>
      </c>
      <c r="F22" s="304">
        <f t="shared" si="2"/>
        <v>0</v>
      </c>
      <c r="G22" s="247"/>
      <c r="H22" s="247"/>
      <c r="I22" s="247"/>
      <c r="J22" s="247"/>
      <c r="K22" s="247"/>
      <c r="L22" s="247"/>
      <c r="M22" s="247"/>
    </row>
    <row r="23" spans="1:13" ht="15" customHeight="1">
      <c r="A23" s="353" t="s">
        <v>557</v>
      </c>
      <c r="B23" s="299"/>
      <c r="C23" s="300">
        <v>2</v>
      </c>
      <c r="D23" s="299">
        <v>1</v>
      </c>
      <c r="E23" s="304">
        <v>7500</v>
      </c>
      <c r="F23" s="304">
        <f>C23*D23*E23</f>
        <v>15000</v>
      </c>
      <c r="G23" s="247"/>
      <c r="H23" s="247"/>
      <c r="I23" s="247"/>
      <c r="J23" s="247"/>
      <c r="K23" s="247"/>
      <c r="L23" s="247"/>
      <c r="M23" s="247"/>
    </row>
    <row r="24" spans="1:13" ht="15" customHeight="1">
      <c r="A24" s="353" t="s">
        <v>440</v>
      </c>
      <c r="B24" s="299"/>
      <c r="C24" s="300">
        <v>2</v>
      </c>
      <c r="D24" s="299">
        <v>1</v>
      </c>
      <c r="E24" s="304">
        <v>7500</v>
      </c>
      <c r="F24" s="304">
        <f t="shared" ref="F24:F29" si="3">C24*D24*E24</f>
        <v>15000</v>
      </c>
      <c r="G24" s="247"/>
      <c r="H24" s="247"/>
      <c r="I24" s="247"/>
      <c r="J24" s="247"/>
      <c r="K24" s="247"/>
      <c r="L24" s="247"/>
      <c r="M24" s="247"/>
    </row>
    <row r="25" spans="1:13" ht="15" customHeight="1">
      <c r="A25" s="362" t="s">
        <v>601</v>
      </c>
      <c r="B25" s="299"/>
      <c r="C25" s="306">
        <f>SUM(C9:C24)</f>
        <v>74</v>
      </c>
      <c r="D25" s="299">
        <v>1</v>
      </c>
      <c r="E25" s="304">
        <v>17500</v>
      </c>
      <c r="F25" s="304">
        <f t="shared" si="3"/>
        <v>1295000</v>
      </c>
      <c r="G25" s="247"/>
      <c r="H25" s="247"/>
      <c r="I25" s="247"/>
      <c r="J25" s="247"/>
      <c r="K25" s="247"/>
      <c r="L25" s="247"/>
      <c r="M25" s="247"/>
    </row>
    <row r="26" spans="1:13" ht="15" customHeight="1">
      <c r="A26" s="534" t="s">
        <v>403</v>
      </c>
      <c r="B26" s="535"/>
      <c r="C26" s="535"/>
      <c r="D26" s="535"/>
      <c r="E26" s="536"/>
      <c r="F26" s="433">
        <f>SUM(F9:F25)</f>
        <v>3140000</v>
      </c>
      <c r="G26" s="247"/>
      <c r="H26" s="247"/>
      <c r="I26" s="247"/>
      <c r="J26" s="247"/>
      <c r="K26" s="247"/>
      <c r="L26" s="247"/>
      <c r="M26" s="247"/>
    </row>
    <row r="27" spans="1:13" ht="15" customHeight="1">
      <c r="A27" s="353" t="s">
        <v>512</v>
      </c>
      <c r="B27" s="299"/>
      <c r="C27" s="300">
        <v>2</v>
      </c>
      <c r="D27" s="299">
        <v>2</v>
      </c>
      <c r="E27" s="304">
        <v>12000</v>
      </c>
      <c r="F27" s="304">
        <f t="shared" si="3"/>
        <v>48000</v>
      </c>
      <c r="G27" s="247"/>
      <c r="H27" s="247"/>
      <c r="I27" s="247"/>
      <c r="J27" s="247"/>
      <c r="K27" s="247"/>
      <c r="L27" s="247"/>
      <c r="M27" s="247"/>
    </row>
    <row r="28" spans="1:13" ht="15" customHeight="1">
      <c r="A28" s="353" t="s">
        <v>414</v>
      </c>
      <c r="B28" s="299"/>
      <c r="C28" s="300">
        <v>490</v>
      </c>
      <c r="D28" s="299">
        <v>1</v>
      </c>
      <c r="E28" s="304">
        <v>800</v>
      </c>
      <c r="F28" s="304">
        <f t="shared" si="3"/>
        <v>392000</v>
      </c>
      <c r="G28" s="247"/>
      <c r="H28" s="247"/>
      <c r="I28" s="247"/>
      <c r="J28" s="247"/>
      <c r="K28" s="247"/>
      <c r="L28" s="247"/>
      <c r="M28" s="247"/>
    </row>
    <row r="29" spans="1:13" ht="15" customHeight="1">
      <c r="A29" s="448" t="s">
        <v>484</v>
      </c>
      <c r="B29" s="361"/>
      <c r="C29" s="449">
        <v>1</v>
      </c>
      <c r="D29" s="361">
        <v>1</v>
      </c>
      <c r="E29" s="413">
        <v>250000</v>
      </c>
      <c r="F29" s="304">
        <f t="shared" si="3"/>
        <v>250000</v>
      </c>
      <c r="G29" s="247"/>
      <c r="H29" s="247"/>
      <c r="I29" s="247"/>
      <c r="J29" s="247"/>
      <c r="K29" s="247"/>
      <c r="L29" s="247"/>
      <c r="M29" s="247"/>
    </row>
    <row r="30" spans="1:13">
      <c r="A30" s="534" t="s">
        <v>403</v>
      </c>
      <c r="B30" s="535"/>
      <c r="C30" s="535"/>
      <c r="D30" s="535"/>
      <c r="E30" s="536"/>
      <c r="F30" s="433">
        <f>SUM(F27:F29)</f>
        <v>690000</v>
      </c>
      <c r="G30" s="247"/>
      <c r="H30" s="247"/>
      <c r="I30" s="247"/>
      <c r="J30" s="247"/>
      <c r="K30" s="247"/>
      <c r="L30" s="247"/>
      <c r="M30" s="247"/>
    </row>
    <row r="31" spans="1:13">
      <c r="A31" s="549" t="s">
        <v>406</v>
      </c>
      <c r="B31" s="550"/>
      <c r="C31" s="550"/>
      <c r="D31" s="550"/>
      <c r="E31" s="551"/>
      <c r="F31" s="436">
        <f>F26+F30</f>
        <v>3830000</v>
      </c>
      <c r="G31" s="247"/>
      <c r="H31" s="247"/>
      <c r="I31" s="247"/>
      <c r="J31" s="247"/>
      <c r="K31" s="247"/>
      <c r="L31" s="247"/>
      <c r="M31" s="247"/>
    </row>
    <row r="32" spans="1:13" s="385" customFormat="1" ht="20.5">
      <c r="A32" s="517" t="s">
        <v>564</v>
      </c>
      <c r="B32" s="517"/>
      <c r="C32" s="428"/>
    </row>
  </sheetData>
  <mergeCells count="7">
    <mergeCell ref="A32:B32"/>
    <mergeCell ref="A30:E30"/>
    <mergeCell ref="A31:E31"/>
    <mergeCell ref="A26:E26"/>
    <mergeCell ref="A1:L1"/>
    <mergeCell ref="A6:E6"/>
    <mergeCell ref="G6:L6"/>
  </mergeCells>
  <conditionalFormatting sqref="E32">
    <cfRule type="cellIs" dxfId="3" priority="1" stopIfTrue="1" operator="equal">
      <formula>0</formula>
    </cfRule>
  </conditionalFormatting>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sheetPr>
  <dimension ref="A1:M23"/>
  <sheetViews>
    <sheetView zoomScale="140" zoomScaleNormal="140" workbookViewId="0">
      <selection activeCell="A6" sqref="A6:XFD6"/>
    </sheetView>
  </sheetViews>
  <sheetFormatPr defaultColWidth="10" defaultRowHeight="15.5"/>
  <cols>
    <col min="1" max="1" width="42.5" style="307" customWidth="1"/>
    <col min="2" max="2" width="11.08203125" style="308" customWidth="1"/>
    <col min="3" max="3" width="6.5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297">
        <f>F15</f>
        <v>397500</v>
      </c>
      <c r="C5" s="295"/>
      <c r="D5" s="295"/>
      <c r="E5" s="295"/>
      <c r="F5" s="296"/>
      <c r="G5" s="246"/>
      <c r="H5" s="246"/>
      <c r="I5" s="246"/>
      <c r="J5" s="246"/>
      <c r="K5" s="246"/>
      <c r="L5" s="246"/>
      <c r="M5" s="246"/>
    </row>
    <row r="6" spans="1:13" s="245" customFormat="1" ht="18" customHeight="1">
      <c r="A6" s="519" t="s">
        <v>416</v>
      </c>
      <c r="B6" s="519"/>
      <c r="C6" s="519"/>
      <c r="D6" s="519"/>
      <c r="E6" s="520"/>
      <c r="F6" s="416"/>
      <c r="G6" s="520" t="s">
        <v>390</v>
      </c>
      <c r="H6" s="521"/>
      <c r="I6" s="521"/>
      <c r="J6" s="521"/>
      <c r="K6" s="521"/>
      <c r="L6" s="522"/>
      <c r="M6" s="247" t="s">
        <v>391</v>
      </c>
    </row>
    <row r="7" spans="1:13" ht="18" customHeight="1">
      <c r="A7" s="552" t="s">
        <v>426</v>
      </c>
      <c r="B7" s="247" t="s">
        <v>393</v>
      </c>
      <c r="C7" s="424" t="s">
        <v>394</v>
      </c>
      <c r="D7" s="393" t="s">
        <v>395</v>
      </c>
      <c r="E7" s="393" t="s">
        <v>396</v>
      </c>
      <c r="F7" s="394" t="s">
        <v>397</v>
      </c>
      <c r="G7" s="247" t="s">
        <v>392</v>
      </c>
      <c r="H7" s="247" t="s">
        <v>398</v>
      </c>
      <c r="I7" s="247" t="s">
        <v>399</v>
      </c>
      <c r="J7" s="247" t="s">
        <v>400</v>
      </c>
      <c r="K7" s="247" t="s">
        <v>401</v>
      </c>
      <c r="L7" s="247" t="s">
        <v>402</v>
      </c>
      <c r="M7" s="247"/>
    </row>
    <row r="8" spans="1:13">
      <c r="A8" s="552"/>
      <c r="B8" s="247"/>
      <c r="C8" s="393"/>
      <c r="D8" s="393"/>
      <c r="E8" s="395"/>
      <c r="F8" s="394"/>
      <c r="G8" s="247"/>
      <c r="H8" s="247"/>
      <c r="I8" s="247"/>
      <c r="J8" s="247"/>
      <c r="K8" s="247"/>
      <c r="L8" s="247"/>
      <c r="M8" s="247"/>
    </row>
    <row r="9" spans="1:13" ht="15" customHeight="1">
      <c r="A9" s="359" t="s">
        <v>90</v>
      </c>
      <c r="B9" s="358"/>
      <c r="C9" s="300"/>
      <c r="D9" s="299"/>
      <c r="E9" s="304"/>
      <c r="F9" s="305"/>
      <c r="G9" s="247"/>
      <c r="H9" s="247"/>
      <c r="I9" s="247"/>
      <c r="J9" s="247"/>
      <c r="K9" s="247"/>
      <c r="L9" s="247"/>
      <c r="M9" s="247"/>
    </row>
    <row r="10" spans="1:13" ht="15" customHeight="1">
      <c r="A10" s="360" t="s">
        <v>592</v>
      </c>
      <c r="B10" s="339" t="s">
        <v>593</v>
      </c>
      <c r="C10" s="355">
        <v>100</v>
      </c>
      <c r="D10" s="299">
        <v>1</v>
      </c>
      <c r="E10" s="304">
        <v>1000</v>
      </c>
      <c r="F10" s="304">
        <f>C10*D10*E10</f>
        <v>100000</v>
      </c>
      <c r="G10" s="247"/>
      <c r="H10" s="247"/>
      <c r="I10" s="247"/>
      <c r="J10" s="247"/>
      <c r="K10" s="247"/>
      <c r="L10" s="247"/>
      <c r="M10" s="247"/>
    </row>
    <row r="11" spans="1:13" ht="15" customHeight="1">
      <c r="A11" s="360" t="s">
        <v>451</v>
      </c>
      <c r="B11" s="339" t="s">
        <v>594</v>
      </c>
      <c r="C11" s="355">
        <v>100</v>
      </c>
      <c r="D11" s="299">
        <v>1</v>
      </c>
      <c r="E11" s="304">
        <v>1000</v>
      </c>
      <c r="F11" s="304">
        <f t="shared" ref="F11:F13" si="0">C11*D11*E11</f>
        <v>100000</v>
      </c>
      <c r="G11" s="247"/>
      <c r="H11" s="247"/>
      <c r="I11" s="247"/>
      <c r="J11" s="247"/>
      <c r="K11" s="247"/>
      <c r="L11" s="247"/>
      <c r="M11" s="247"/>
    </row>
    <row r="12" spans="1:13" ht="15" customHeight="1">
      <c r="A12" s="360" t="s">
        <v>452</v>
      </c>
      <c r="B12" s="339" t="s">
        <v>595</v>
      </c>
      <c r="C12" s="355">
        <v>10000</v>
      </c>
      <c r="D12" s="299">
        <v>1</v>
      </c>
      <c r="E12" s="304">
        <v>11</v>
      </c>
      <c r="F12" s="304">
        <f t="shared" si="0"/>
        <v>110000</v>
      </c>
      <c r="G12" s="247"/>
      <c r="H12" s="247"/>
      <c r="I12" s="247"/>
      <c r="J12" s="247"/>
      <c r="K12" s="247"/>
      <c r="L12" s="247"/>
      <c r="M12" s="247"/>
    </row>
    <row r="13" spans="1:13" ht="15" customHeight="1">
      <c r="A13" s="360" t="s">
        <v>596</v>
      </c>
      <c r="B13" s="339" t="s">
        <v>398</v>
      </c>
      <c r="C13" s="355">
        <v>250</v>
      </c>
      <c r="D13" s="299">
        <v>1</v>
      </c>
      <c r="E13" s="304">
        <v>150</v>
      </c>
      <c r="F13" s="304">
        <f t="shared" si="0"/>
        <v>37500</v>
      </c>
      <c r="G13" s="247"/>
      <c r="H13" s="247"/>
      <c r="I13" s="247"/>
      <c r="J13" s="247"/>
      <c r="K13" s="247"/>
      <c r="L13" s="247"/>
      <c r="M13" s="247"/>
    </row>
    <row r="14" spans="1:13" ht="15" customHeight="1">
      <c r="A14" s="360" t="s">
        <v>597</v>
      </c>
      <c r="B14" s="339" t="s">
        <v>398</v>
      </c>
      <c r="C14" s="355">
        <v>250</v>
      </c>
      <c r="D14" s="299">
        <v>1</v>
      </c>
      <c r="E14" s="304">
        <v>200</v>
      </c>
      <c r="F14" s="304">
        <f t="shared" ref="F14" si="1">C14*D14*E14</f>
        <v>50000</v>
      </c>
      <c r="G14" s="247"/>
      <c r="H14" s="247"/>
      <c r="I14" s="247"/>
      <c r="J14" s="247"/>
      <c r="K14" s="247"/>
      <c r="L14" s="247"/>
      <c r="M14" s="247"/>
    </row>
    <row r="15" spans="1:13">
      <c r="A15" s="526" t="s">
        <v>406</v>
      </c>
      <c r="B15" s="527"/>
      <c r="C15" s="527"/>
      <c r="D15" s="527"/>
      <c r="E15" s="528"/>
      <c r="F15" s="436">
        <f>SUM(F10:F14)</f>
        <v>397500</v>
      </c>
      <c r="G15" s="247"/>
      <c r="H15" s="247"/>
      <c r="I15" s="247"/>
      <c r="J15" s="247"/>
      <c r="K15" s="247"/>
      <c r="L15" s="247"/>
      <c r="M15" s="247"/>
    </row>
    <row r="16" spans="1:13" s="385" customFormat="1" ht="20.5">
      <c r="A16" s="517" t="s">
        <v>564</v>
      </c>
      <c r="B16" s="517"/>
      <c r="C16" s="428"/>
    </row>
    <row r="17" spans="2:6">
      <c r="B17" s="349"/>
      <c r="D17" s="309"/>
      <c r="F17" s="311"/>
    </row>
    <row r="18" spans="2:6">
      <c r="B18" s="349"/>
    </row>
    <row r="19" spans="2:6">
      <c r="B19" s="349"/>
    </row>
    <row r="20" spans="2:6">
      <c r="B20" s="349"/>
    </row>
    <row r="21" spans="2:6">
      <c r="B21" s="349"/>
    </row>
    <row r="22" spans="2:6">
      <c r="B22" s="349"/>
    </row>
    <row r="23" spans="2:6">
      <c r="B23" s="350"/>
    </row>
  </sheetData>
  <mergeCells count="6">
    <mergeCell ref="A16:B16"/>
    <mergeCell ref="A1:L1"/>
    <mergeCell ref="A6:E6"/>
    <mergeCell ref="G6:L6"/>
    <mergeCell ref="A7:A8"/>
    <mergeCell ref="A15:E15"/>
  </mergeCells>
  <conditionalFormatting sqref="E16">
    <cfRule type="cellIs" dxfId="2" priority="1" stopIfTrue="1" operator="equal">
      <formula>0</formula>
    </cfRule>
  </conditionalFormatting>
  <pageMargins left="0.7" right="0.7" top="0.75" bottom="0.75" header="0.3" footer="0.3"/>
  <pageSetup paperSize="9"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sheetPr>
  <dimension ref="A1:M20"/>
  <sheetViews>
    <sheetView workbookViewId="0">
      <selection activeCell="E15" sqref="E15"/>
    </sheetView>
  </sheetViews>
  <sheetFormatPr defaultColWidth="10" defaultRowHeight="15.5"/>
  <cols>
    <col min="1" max="1" width="68.83203125" style="307" customWidth="1"/>
    <col min="2" max="2" width="15.83203125" style="308" bestFit="1"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297">
        <f>F12</f>
        <v>7605000</v>
      </c>
      <c r="C5" s="295"/>
      <c r="D5" s="295"/>
      <c r="E5" s="295"/>
      <c r="F5" s="296"/>
      <c r="G5" s="246"/>
      <c r="H5" s="246"/>
      <c r="I5" s="246"/>
      <c r="J5" s="246"/>
      <c r="K5" s="246"/>
      <c r="L5" s="246"/>
      <c r="M5" s="246"/>
    </row>
    <row r="6" spans="1:13" s="245" customFormat="1">
      <c r="A6" s="519" t="s">
        <v>416</v>
      </c>
      <c r="B6" s="519"/>
      <c r="C6" s="519"/>
      <c r="D6" s="519"/>
      <c r="E6" s="520"/>
      <c r="F6" s="416"/>
      <c r="G6" s="520" t="s">
        <v>390</v>
      </c>
      <c r="H6" s="521"/>
      <c r="I6" s="521"/>
      <c r="J6" s="521"/>
      <c r="K6" s="521"/>
      <c r="L6" s="522"/>
      <c r="M6" s="247" t="s">
        <v>391</v>
      </c>
    </row>
    <row r="7" spans="1:13" ht="18" customHeight="1">
      <c r="A7" s="552" t="s">
        <v>426</v>
      </c>
      <c r="B7" s="247" t="s">
        <v>393</v>
      </c>
      <c r="C7" s="393" t="s">
        <v>394</v>
      </c>
      <c r="D7" s="393" t="s">
        <v>395</v>
      </c>
      <c r="E7" s="393" t="s">
        <v>396</v>
      </c>
      <c r="F7" s="394" t="s">
        <v>397</v>
      </c>
      <c r="G7" s="247" t="s">
        <v>392</v>
      </c>
      <c r="H7" s="247" t="s">
        <v>398</v>
      </c>
      <c r="I7" s="247" t="s">
        <v>399</v>
      </c>
      <c r="J7" s="247" t="s">
        <v>400</v>
      </c>
      <c r="K7" s="247" t="s">
        <v>401</v>
      </c>
      <c r="L7" s="247" t="s">
        <v>402</v>
      </c>
      <c r="M7" s="247"/>
    </row>
    <row r="8" spans="1:13">
      <c r="A8" s="552"/>
      <c r="B8" s="247"/>
      <c r="C8" s="393"/>
      <c r="D8" s="393"/>
      <c r="E8" s="395"/>
      <c r="F8" s="394"/>
      <c r="G8" s="247"/>
      <c r="H8" s="247"/>
      <c r="I8" s="247"/>
      <c r="J8" s="247"/>
      <c r="K8" s="247"/>
      <c r="L8" s="247"/>
      <c r="M8" s="247"/>
    </row>
    <row r="9" spans="1:13" ht="15" customHeight="1">
      <c r="A9" s="359" t="s">
        <v>598</v>
      </c>
      <c r="B9" s="358"/>
      <c r="C9" s="300"/>
      <c r="D9" s="299"/>
      <c r="E9" s="304"/>
      <c r="F9" s="305"/>
      <c r="G9" s="247"/>
      <c r="H9" s="247"/>
      <c r="I9" s="247"/>
      <c r="J9" s="247"/>
      <c r="K9" s="247"/>
      <c r="L9" s="247"/>
      <c r="M9" s="247"/>
    </row>
    <row r="10" spans="1:13" ht="15" customHeight="1">
      <c r="A10" s="360" t="s">
        <v>599</v>
      </c>
      <c r="B10" s="339" t="s">
        <v>600</v>
      </c>
      <c r="C10" s="355">
        <v>1690</v>
      </c>
      <c r="D10" s="299">
        <v>1</v>
      </c>
      <c r="E10" s="304">
        <v>1500</v>
      </c>
      <c r="F10" s="304">
        <f>C10*D10*E10</f>
        <v>2535000</v>
      </c>
      <c r="G10" s="247"/>
      <c r="H10" s="247"/>
      <c r="I10" s="247"/>
      <c r="J10" s="247"/>
      <c r="K10" s="247"/>
      <c r="L10" s="247"/>
      <c r="M10" s="247"/>
    </row>
    <row r="11" spans="1:13" ht="15" customHeight="1">
      <c r="A11" s="445" t="s">
        <v>407</v>
      </c>
      <c r="B11" s="446" t="s">
        <v>600</v>
      </c>
      <c r="C11" s="355">
        <v>1690</v>
      </c>
      <c r="D11" s="361">
        <v>1</v>
      </c>
      <c r="E11" s="413">
        <v>3000</v>
      </c>
      <c r="F11" s="304">
        <f>C11*D11*E11</f>
        <v>5070000</v>
      </c>
      <c r="G11" s="247"/>
      <c r="H11" s="247"/>
      <c r="I11" s="247"/>
      <c r="J11" s="247"/>
      <c r="K11" s="247"/>
      <c r="L11" s="247"/>
      <c r="M11" s="247"/>
    </row>
    <row r="12" spans="1:13" ht="15.75" customHeight="1">
      <c r="A12" s="534" t="s">
        <v>406</v>
      </c>
      <c r="B12" s="535"/>
      <c r="C12" s="535"/>
      <c r="D12" s="535"/>
      <c r="E12" s="536"/>
      <c r="F12" s="433">
        <f>SUM(F10:F11)</f>
        <v>7605000</v>
      </c>
      <c r="G12" s="247"/>
      <c r="H12" s="247"/>
      <c r="I12" s="247"/>
      <c r="J12" s="247"/>
      <c r="K12" s="247"/>
      <c r="L12" s="247"/>
      <c r="M12" s="247"/>
    </row>
    <row r="13" spans="1:13" s="385" customFormat="1" ht="20.5">
      <c r="A13" s="517" t="s">
        <v>564</v>
      </c>
      <c r="B13" s="517"/>
      <c r="C13" s="428"/>
    </row>
    <row r="14" spans="1:13">
      <c r="B14" s="349"/>
      <c r="D14" s="309"/>
      <c r="F14" s="311"/>
    </row>
    <row r="15" spans="1:13">
      <c r="B15" s="349"/>
    </row>
    <row r="16" spans="1:13">
      <c r="B16" s="349"/>
    </row>
    <row r="17" spans="2:2">
      <c r="B17" s="349"/>
    </row>
    <row r="18" spans="2:2">
      <c r="B18" s="349"/>
    </row>
    <row r="19" spans="2:2">
      <c r="B19" s="349"/>
    </row>
    <row r="20" spans="2:2">
      <c r="B20" s="350"/>
    </row>
  </sheetData>
  <mergeCells count="6">
    <mergeCell ref="A13:B13"/>
    <mergeCell ref="A1:L1"/>
    <mergeCell ref="A6:E6"/>
    <mergeCell ref="G6:L6"/>
    <mergeCell ref="A7:A8"/>
    <mergeCell ref="A12:E12"/>
  </mergeCells>
  <conditionalFormatting sqref="E13">
    <cfRule type="cellIs" dxfId="1" priority="1" stopIfTrue="1" operator="equal">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F23"/>
  <sheetViews>
    <sheetView zoomScale="90" zoomScaleNormal="90" workbookViewId="0">
      <pane xSplit="1" ySplit="4" topLeftCell="B5" activePane="bottomRight" state="frozen"/>
      <selection pane="topRight" activeCell="B1" sqref="B1"/>
      <selection pane="bottomLeft" activeCell="A5" sqref="A5"/>
      <selection pane="bottomRight" activeCell="C16" sqref="C16"/>
    </sheetView>
  </sheetViews>
  <sheetFormatPr defaultColWidth="8.58203125" defaultRowHeight="15.5"/>
  <cols>
    <col min="1" max="1" width="3.33203125" style="334" customWidth="1"/>
    <col min="2" max="2" width="44.33203125" style="334" customWidth="1"/>
    <col min="3" max="3" width="12.83203125" style="334" customWidth="1"/>
    <col min="4" max="4" width="16" style="334" customWidth="1"/>
    <col min="5" max="16384" width="8.58203125" style="335"/>
  </cols>
  <sheetData>
    <row r="1" spans="1:6" ht="18.649999999999999" customHeight="1">
      <c r="A1" s="558" t="s">
        <v>71</v>
      </c>
      <c r="B1" s="558"/>
      <c r="C1" s="558"/>
      <c r="D1" s="558"/>
    </row>
    <row r="2" spans="1:6" ht="16" customHeight="1" thickBot="1">
      <c r="A2" s="559"/>
      <c r="B2" s="559"/>
      <c r="C2" s="559"/>
      <c r="D2" s="559"/>
    </row>
    <row r="3" spans="1:6" ht="16.5" customHeight="1" thickBot="1">
      <c r="A3" s="556" t="s">
        <v>574</v>
      </c>
      <c r="B3" s="557"/>
      <c r="C3" s="557"/>
      <c r="D3" s="557"/>
    </row>
    <row r="4" spans="1:6">
      <c r="A4" s="318" t="s">
        <v>428</v>
      </c>
      <c r="B4" s="319" t="s">
        <v>72</v>
      </c>
      <c r="C4" s="320" t="s">
        <v>78</v>
      </c>
      <c r="D4" s="321" t="s">
        <v>73</v>
      </c>
    </row>
    <row r="5" spans="1:6" s="336" customFormat="1">
      <c r="A5" s="324">
        <v>2</v>
      </c>
      <c r="B5" s="325" t="s">
        <v>80</v>
      </c>
      <c r="C5" s="327">
        <v>4739</v>
      </c>
      <c r="D5" s="329">
        <f>C5*560</f>
        <v>2653840</v>
      </c>
      <c r="E5" s="553"/>
      <c r="F5" s="553"/>
    </row>
    <row r="6" spans="1:6">
      <c r="A6" s="323">
        <v>3</v>
      </c>
      <c r="B6" s="326" t="s">
        <v>81</v>
      </c>
      <c r="C6" s="327">
        <v>1106</v>
      </c>
      <c r="D6" s="329">
        <f>C6*560</f>
        <v>619360</v>
      </c>
      <c r="E6" s="553"/>
      <c r="F6" s="553"/>
    </row>
    <row r="7" spans="1:6">
      <c r="A7" s="323">
        <v>4</v>
      </c>
      <c r="B7" s="326" t="s">
        <v>82</v>
      </c>
      <c r="C7" s="327">
        <v>298</v>
      </c>
      <c r="D7" s="329">
        <f t="shared" ref="D7:D19" si="0">C7*560</f>
        <v>166880</v>
      </c>
      <c r="E7" s="553"/>
      <c r="F7" s="553"/>
    </row>
    <row r="8" spans="1:6" ht="26">
      <c r="A8" s="332">
        <v>5</v>
      </c>
      <c r="B8" s="333" t="s">
        <v>83</v>
      </c>
      <c r="C8" s="330">
        <v>220</v>
      </c>
      <c r="D8" s="331">
        <f t="shared" si="0"/>
        <v>123200</v>
      </c>
      <c r="E8" s="553"/>
      <c r="F8" s="553"/>
    </row>
    <row r="9" spans="1:6" ht="26">
      <c r="A9" s="323">
        <v>6</v>
      </c>
      <c r="B9" s="326" t="s">
        <v>85</v>
      </c>
      <c r="C9" s="327">
        <v>7205</v>
      </c>
      <c r="D9" s="329">
        <f t="shared" si="0"/>
        <v>4034800</v>
      </c>
      <c r="E9" s="553"/>
      <c r="F9" s="553"/>
    </row>
    <row r="10" spans="1:6" ht="26">
      <c r="A10" s="323">
        <v>7</v>
      </c>
      <c r="B10" s="326" t="s">
        <v>84</v>
      </c>
      <c r="C10" s="327">
        <v>27500</v>
      </c>
      <c r="D10" s="329">
        <f t="shared" si="0"/>
        <v>15400000</v>
      </c>
      <c r="E10" s="553"/>
      <c r="F10" s="553"/>
    </row>
    <row r="11" spans="1:6" ht="26">
      <c r="A11" s="332">
        <v>8</v>
      </c>
      <c r="B11" s="333" t="s">
        <v>86</v>
      </c>
      <c r="C11" s="330">
        <v>1895</v>
      </c>
      <c r="D11" s="331">
        <f t="shared" si="0"/>
        <v>1061200</v>
      </c>
      <c r="E11" s="553"/>
      <c r="F11" s="553"/>
    </row>
    <row r="12" spans="1:6">
      <c r="A12" s="323">
        <v>9</v>
      </c>
      <c r="B12" s="326" t="s">
        <v>87</v>
      </c>
      <c r="C12" s="327">
        <v>11578</v>
      </c>
      <c r="D12" s="329">
        <f t="shared" si="0"/>
        <v>6483680</v>
      </c>
      <c r="E12" s="553"/>
      <c r="F12" s="553"/>
    </row>
    <row r="13" spans="1:6">
      <c r="A13" s="323">
        <v>10</v>
      </c>
      <c r="B13" s="326" t="s">
        <v>88</v>
      </c>
      <c r="C13" s="327">
        <v>5328</v>
      </c>
      <c r="D13" s="329">
        <f t="shared" si="0"/>
        <v>2983680</v>
      </c>
      <c r="E13" s="553"/>
      <c r="F13" s="553"/>
    </row>
    <row r="14" spans="1:6" ht="36" customHeight="1">
      <c r="A14" s="332">
        <v>11</v>
      </c>
      <c r="B14" s="333" t="s">
        <v>89</v>
      </c>
      <c r="C14" s="330">
        <v>0</v>
      </c>
      <c r="D14" s="331">
        <f t="shared" si="0"/>
        <v>0</v>
      </c>
      <c r="E14" s="553"/>
      <c r="F14" s="553"/>
    </row>
    <row r="15" spans="1:6">
      <c r="A15" s="323">
        <v>12</v>
      </c>
      <c r="B15" s="326" t="s">
        <v>90</v>
      </c>
      <c r="C15" s="327">
        <v>3469</v>
      </c>
      <c r="D15" s="329">
        <f t="shared" si="0"/>
        <v>1942640</v>
      </c>
      <c r="E15" s="553"/>
      <c r="F15" s="553"/>
    </row>
    <row r="16" spans="1:6" s="336" customFormat="1" ht="26">
      <c r="A16" s="324">
        <v>13</v>
      </c>
      <c r="B16" s="325" t="s">
        <v>91</v>
      </c>
      <c r="C16" s="327">
        <v>16615</v>
      </c>
      <c r="D16" s="329">
        <f t="shared" si="0"/>
        <v>9304400</v>
      </c>
      <c r="E16" s="553"/>
      <c r="F16" s="553"/>
    </row>
    <row r="17" spans="1:6">
      <c r="A17" s="332">
        <v>14</v>
      </c>
      <c r="B17" s="333" t="s">
        <v>92</v>
      </c>
      <c r="C17" s="330">
        <v>5000</v>
      </c>
      <c r="D17" s="331">
        <f t="shared" si="0"/>
        <v>2800000</v>
      </c>
      <c r="E17" s="553"/>
      <c r="F17" s="553"/>
    </row>
    <row r="18" spans="1:6" ht="26.5" thickBot="1">
      <c r="A18" s="323">
        <v>15</v>
      </c>
      <c r="B18" s="326" t="s">
        <v>93</v>
      </c>
      <c r="C18" s="327">
        <v>3560</v>
      </c>
      <c r="D18" s="329">
        <f t="shared" si="0"/>
        <v>1993600</v>
      </c>
      <c r="E18" s="553"/>
      <c r="F18" s="553"/>
    </row>
    <row r="19" spans="1:6" ht="16" thickBot="1">
      <c r="A19" s="554" t="s">
        <v>74</v>
      </c>
      <c r="B19" s="555"/>
      <c r="C19" s="328">
        <f>SUM(C5:C18)</f>
        <v>88513</v>
      </c>
      <c r="D19" s="329">
        <f t="shared" si="0"/>
        <v>49567280</v>
      </c>
    </row>
    <row r="20" spans="1:6">
      <c r="A20" s="322" t="s">
        <v>79</v>
      </c>
      <c r="B20" s="437"/>
      <c r="C20" s="438"/>
      <c r="D20" s="438"/>
    </row>
    <row r="21" spans="1:6">
      <c r="A21" s="322"/>
      <c r="B21" s="437"/>
      <c r="C21" s="438"/>
      <c r="D21" s="438"/>
    </row>
    <row r="22" spans="1:6">
      <c r="A22" s="322"/>
      <c r="B22" s="437"/>
      <c r="C22" s="439" t="s">
        <v>75</v>
      </c>
      <c r="D22" s="437"/>
    </row>
    <row r="23" spans="1:6">
      <c r="A23" s="322"/>
      <c r="B23" s="437"/>
      <c r="C23" s="440" t="s">
        <v>76</v>
      </c>
      <c r="D23" s="437"/>
    </row>
  </sheetData>
  <mergeCells count="4">
    <mergeCell ref="E5:F18"/>
    <mergeCell ref="A19:B19"/>
    <mergeCell ref="A3:D3"/>
    <mergeCell ref="A1:D2"/>
  </mergeCells>
  <conditionalFormatting sqref="B5:B18">
    <cfRule type="containsBlanks" dxfId="0" priority="1">
      <formula>LEN(TRIM(B5))=0</formula>
    </cfRule>
  </conditionalFormatting>
  <dataValidations count="1">
    <dataValidation type="custom" allowBlank="1" showInputMessage="1" showErrorMessage="1" prompt="Format texte libre" sqref="B5:B18" xr:uid="{00000000-0002-0000-1100-000000000000}">
      <formula1>ISTEXT(B5:B504)</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5"/>
  <cols>
    <col min="1" max="1" width="15.58203125" bestFit="1" customWidth="1"/>
  </cols>
  <sheetData>
    <row r="1" spans="1:1">
      <c r="A1" s="316" t="e">
        <f>#REF!+'2. Workshop ferramentas'!F18+'3 funcionamento'!F17+'4  impressao'!F16+'5 coordenacao'!#REF!+'6 adaptar modulosMenA'!F15+'7 atelier validar modulo'!F16+'8 formacao de formadores NC'!#REF!+#REF!+'10 Plano comunicacao'!F15+'12 seguimento post MenA'!F50+'13 avaliacao post'!#REF!+#REF!+'14 gestao MAPI Malária'!#REF!</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abSelected="1" zoomScale="98" zoomScaleNormal="98" workbookViewId="0">
      <selection activeCell="B9" sqref="B9"/>
    </sheetView>
  </sheetViews>
  <sheetFormatPr defaultRowHeight="15.5"/>
  <cols>
    <col min="1" max="1" width="3.83203125" style="383" customWidth="1"/>
    <col min="2" max="2" width="86.33203125" bestFit="1" customWidth="1"/>
    <col min="3" max="3" width="23.08203125" style="429" customWidth="1"/>
    <col min="4" max="4" width="18.4140625" customWidth="1"/>
    <col min="6" max="6" width="11.25" bestFit="1" customWidth="1"/>
  </cols>
  <sheetData>
    <row r="1" spans="1:6">
      <c r="A1" s="514" t="s">
        <v>71</v>
      </c>
      <c r="B1" s="514"/>
      <c r="C1" s="514"/>
      <c r="D1" s="514"/>
    </row>
    <row r="3" spans="1:6" ht="22.5" customHeight="1">
      <c r="A3" s="513" t="s">
        <v>565</v>
      </c>
      <c r="B3" s="513"/>
      <c r="C3" s="513"/>
      <c r="D3" s="513"/>
    </row>
    <row r="4" spans="1:6" s="388" customFormat="1" ht="28.5" customHeight="1">
      <c r="A4" s="387" t="s">
        <v>460</v>
      </c>
      <c r="B4" s="387" t="s">
        <v>72</v>
      </c>
      <c r="C4" s="426" t="s">
        <v>73</v>
      </c>
      <c r="D4" s="387" t="s">
        <v>78</v>
      </c>
    </row>
    <row r="5" spans="1:6" s="385" customFormat="1" ht="20.5">
      <c r="A5" s="460" t="s">
        <v>467</v>
      </c>
      <c r="B5" s="389" t="s">
        <v>640</v>
      </c>
      <c r="C5" s="427">
        <f>'1. Adquirir cartões de vacinas'!F10</f>
        <v>31991296.000000004</v>
      </c>
      <c r="D5" s="458">
        <f>+C5/586.5</f>
        <v>54546.11423699915</v>
      </c>
    </row>
    <row r="6" spans="1:6" s="385" customFormat="1" ht="41">
      <c r="A6" s="460" t="s">
        <v>468</v>
      </c>
      <c r="B6" s="389" t="s">
        <v>429</v>
      </c>
      <c r="C6" s="427">
        <f>'2. Workshop ferramentas'!B5</f>
        <v>2450000</v>
      </c>
      <c r="D6" s="458">
        <f t="shared" ref="D6:D19" si="0">+C6/586.5</f>
        <v>4177.3231031543055</v>
      </c>
    </row>
    <row r="7" spans="1:6" s="385" customFormat="1" ht="20.5">
      <c r="A7" s="460" t="s">
        <v>469</v>
      </c>
      <c r="B7" s="384" t="s">
        <v>644</v>
      </c>
      <c r="C7" s="427">
        <f>'3 funcionamento'!B5</f>
        <v>2964000</v>
      </c>
      <c r="D7" s="458">
        <f t="shared" si="0"/>
        <v>5053.7084398976986</v>
      </c>
    </row>
    <row r="8" spans="1:6" s="385" customFormat="1" ht="20.5">
      <c r="A8" s="460" t="s">
        <v>470</v>
      </c>
      <c r="B8" s="384" t="s">
        <v>461</v>
      </c>
      <c r="C8" s="427">
        <f>'4  impressao'!B5</f>
        <v>18540000</v>
      </c>
      <c r="D8" s="458">
        <f t="shared" si="0"/>
        <v>31611.253196930946</v>
      </c>
    </row>
    <row r="9" spans="1:6" s="385" customFormat="1" ht="20.5">
      <c r="A9" s="460" t="s">
        <v>471</v>
      </c>
      <c r="B9" s="384" t="s">
        <v>81</v>
      </c>
      <c r="C9" s="427">
        <f>'5 coordenacao'!F12</f>
        <v>2250000</v>
      </c>
      <c r="D9" s="458">
        <f t="shared" si="0"/>
        <v>3836.3171355498721</v>
      </c>
    </row>
    <row r="10" spans="1:6" s="385" customFormat="1" ht="20.5">
      <c r="A10" s="460" t="s">
        <v>472</v>
      </c>
      <c r="B10" s="384" t="s">
        <v>520</v>
      </c>
      <c r="C10" s="427">
        <f>'6 adaptar modulosMenA'!B5</f>
        <v>885000</v>
      </c>
      <c r="D10" s="458">
        <f t="shared" si="0"/>
        <v>1508.9514066496163</v>
      </c>
    </row>
    <row r="11" spans="1:6" s="385" customFormat="1" ht="20.5">
      <c r="A11" s="460" t="s">
        <v>473</v>
      </c>
      <c r="B11" s="389" t="s">
        <v>462</v>
      </c>
      <c r="C11" s="427">
        <f>'7 atelier validar modulo'!B5</f>
        <v>772500</v>
      </c>
      <c r="D11" s="458">
        <f t="shared" si="0"/>
        <v>1317.1355498721227</v>
      </c>
    </row>
    <row r="12" spans="1:6" s="385" customFormat="1" ht="41">
      <c r="A12" s="460" t="s">
        <v>474</v>
      </c>
      <c r="B12" s="389" t="s">
        <v>645</v>
      </c>
      <c r="C12" s="427">
        <f>'8 formacao de formadores NC'!F22</f>
        <v>1380000</v>
      </c>
      <c r="D12" s="458">
        <f t="shared" si="0"/>
        <v>2352.9411764705883</v>
      </c>
    </row>
    <row r="13" spans="1:6" s="385" customFormat="1" ht="41">
      <c r="A13" s="460" t="s">
        <v>475</v>
      </c>
      <c r="B13" s="389" t="s">
        <v>642</v>
      </c>
      <c r="C13" s="427">
        <f>'9 Formação de formadores N. Reg'!F48</f>
        <v>24219500</v>
      </c>
      <c r="D13" s="458">
        <f t="shared" si="0"/>
        <v>41294.970161977835</v>
      </c>
    </row>
    <row r="14" spans="1:6" s="385" customFormat="1" ht="24.75" customHeight="1">
      <c r="A14" s="460" t="s">
        <v>476</v>
      </c>
      <c r="B14" s="389" t="s">
        <v>643</v>
      </c>
      <c r="C14" s="427">
        <f>'10 Plano comunicacao'!B5</f>
        <v>15347500</v>
      </c>
      <c r="D14" s="458">
        <f t="shared" si="0"/>
        <v>26167.945439045183</v>
      </c>
      <c r="F14" s="459">
        <f>200000-D20</f>
        <v>56.375106564344605</v>
      </c>
    </row>
    <row r="15" spans="1:6" s="385" customFormat="1" ht="41">
      <c r="A15" s="460" t="s">
        <v>477</v>
      </c>
      <c r="B15" s="389" t="s">
        <v>444</v>
      </c>
      <c r="C15" s="427">
        <f>'11 distribuicao vacinas Malária'!B5</f>
        <v>1382640</v>
      </c>
      <c r="D15" s="458">
        <f t="shared" si="0"/>
        <v>2357.4424552429668</v>
      </c>
    </row>
    <row r="16" spans="1:6" s="385" customFormat="1" ht="20.5">
      <c r="A16" s="460" t="s">
        <v>478</v>
      </c>
      <c r="B16" s="384" t="s">
        <v>589</v>
      </c>
      <c r="C16" s="427">
        <f>'12 seguimento post MenA'!B5</f>
        <v>3252000</v>
      </c>
      <c r="D16" s="458">
        <f t="shared" si="0"/>
        <v>5544.7570332480818</v>
      </c>
    </row>
    <row r="17" spans="1:4" s="385" customFormat="1" ht="20.5">
      <c r="A17" s="460" t="s">
        <v>479</v>
      </c>
      <c r="B17" s="384" t="s">
        <v>590</v>
      </c>
      <c r="C17" s="427">
        <f>'13 avaliacao post'!B5</f>
        <v>3830000</v>
      </c>
      <c r="D17" s="458">
        <f t="shared" si="0"/>
        <v>6530.2642796248938</v>
      </c>
    </row>
    <row r="18" spans="1:4" s="385" customFormat="1" ht="41">
      <c r="A18" s="460" t="s">
        <v>480</v>
      </c>
      <c r="B18" s="389" t="s">
        <v>591</v>
      </c>
      <c r="C18" s="427">
        <f>'14 gestao MAPI Malária'!F15</f>
        <v>397500</v>
      </c>
      <c r="D18" s="458">
        <f t="shared" si="0"/>
        <v>677.74936061381072</v>
      </c>
    </row>
    <row r="19" spans="1:4" s="385" customFormat="1" ht="41">
      <c r="A19" s="460" t="s">
        <v>481</v>
      </c>
      <c r="B19" s="389" t="s">
        <v>588</v>
      </c>
      <c r="C19" s="427">
        <f>'15 formacao plano comunica'!B5</f>
        <v>7605000</v>
      </c>
      <c r="D19" s="458">
        <f t="shared" si="0"/>
        <v>12966.751918158569</v>
      </c>
    </row>
    <row r="20" spans="1:4" s="385" customFormat="1" ht="20.5">
      <c r="A20" s="515" t="s">
        <v>74</v>
      </c>
      <c r="B20" s="516"/>
      <c r="C20" s="441">
        <f>SUM(C5:C19)</f>
        <v>117266936</v>
      </c>
      <c r="D20" s="461">
        <f>SUM(D5:D19)</f>
        <v>199943.62489343566</v>
      </c>
    </row>
    <row r="21" spans="1:4" s="385" customFormat="1" ht="20.5">
      <c r="A21" s="517" t="s">
        <v>564</v>
      </c>
      <c r="B21" s="517"/>
      <c r="C21" s="428"/>
    </row>
    <row r="22" spans="1:4" s="385" customFormat="1" ht="20.5">
      <c r="A22" s="386"/>
    </row>
    <row r="23" spans="1:4" s="385" customFormat="1" ht="20.5">
      <c r="A23" s="386"/>
    </row>
  </sheetData>
  <mergeCells count="4">
    <mergeCell ref="A3:D3"/>
    <mergeCell ref="A1:D1"/>
    <mergeCell ref="A20:B20"/>
    <mergeCell ref="A21:B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G406"/>
  <sheetViews>
    <sheetView topLeftCell="D18" zoomScaleNormal="100" workbookViewId="0">
      <selection activeCell="F24" sqref="F24"/>
    </sheetView>
  </sheetViews>
  <sheetFormatPr defaultColWidth="10.33203125" defaultRowHeight="15.5"/>
  <cols>
    <col min="1" max="1" width="2.83203125" style="185" customWidth="1"/>
    <col min="2" max="2" width="24.5" style="185" customWidth="1"/>
    <col min="3" max="3" width="41" style="185" customWidth="1"/>
    <col min="4" max="4" width="48.5" style="185" customWidth="1"/>
    <col min="5" max="5" width="17.83203125" style="185" customWidth="1"/>
    <col min="6" max="6" width="19.83203125" style="185" customWidth="1"/>
    <col min="7" max="7" width="32.33203125" style="185" customWidth="1"/>
    <col min="8" max="8" width="8.08203125" style="185" bestFit="1" customWidth="1"/>
    <col min="9" max="10" width="10.33203125" style="185"/>
    <col min="11" max="11" width="11.75" style="185" bestFit="1" customWidth="1"/>
    <col min="12" max="16384" width="10.33203125" style="185"/>
  </cols>
  <sheetData>
    <row r="1" spans="1:6">
      <c r="A1" s="242" t="s">
        <v>384</v>
      </c>
      <c r="B1" s="242"/>
      <c r="C1" s="243"/>
      <c r="D1" s="243"/>
    </row>
    <row r="2" spans="1:6">
      <c r="A2" s="242" t="s">
        <v>385</v>
      </c>
      <c r="B2" s="242"/>
      <c r="C2" s="243"/>
      <c r="D2" s="243"/>
    </row>
    <row r="3" spans="1:6">
      <c r="A3" s="242" t="s">
        <v>386</v>
      </c>
      <c r="B3" s="242"/>
      <c r="C3" s="243"/>
      <c r="D3" s="243"/>
    </row>
    <row r="4" spans="1:6">
      <c r="A4" s="242" t="s">
        <v>387</v>
      </c>
      <c r="B4" s="242"/>
      <c r="C4" s="243"/>
      <c r="D4" s="243"/>
    </row>
    <row r="5" spans="1:6">
      <c r="A5" s="242" t="s">
        <v>388</v>
      </c>
      <c r="B5" s="242"/>
      <c r="C5" s="243"/>
      <c r="D5" s="243"/>
    </row>
    <row r="6" spans="1:6" ht="18.75" customHeight="1"/>
    <row r="7" spans="1:6" ht="15" customHeight="1">
      <c r="B7" s="563"/>
      <c r="C7" s="563"/>
      <c r="D7" s="563"/>
      <c r="E7" s="563"/>
    </row>
    <row r="8" spans="1:6" ht="15" customHeight="1">
      <c r="B8" s="186" t="s">
        <v>96</v>
      </c>
      <c r="C8" s="186" t="s">
        <v>97</v>
      </c>
      <c r="D8" s="186" t="s">
        <v>98</v>
      </c>
      <c r="E8" s="187" t="s">
        <v>99</v>
      </c>
      <c r="F8" s="187" t="s">
        <v>100</v>
      </c>
    </row>
    <row r="9" spans="1:6" ht="15" customHeight="1">
      <c r="A9" s="185">
        <v>1</v>
      </c>
      <c r="B9" s="564" t="s">
        <v>101</v>
      </c>
      <c r="C9" s="564" t="s">
        <v>102</v>
      </c>
      <c r="D9" s="188"/>
      <c r="E9" s="189"/>
    </row>
    <row r="10" spans="1:6" ht="15" customHeight="1">
      <c r="B10" s="564"/>
      <c r="C10" s="564"/>
      <c r="D10" s="262"/>
      <c r="E10" s="265"/>
    </row>
    <row r="11" spans="1:6" ht="15" customHeight="1">
      <c r="B11" s="564"/>
      <c r="C11" s="564"/>
      <c r="D11" s="257" t="s">
        <v>103</v>
      </c>
      <c r="E11" s="266">
        <v>6757</v>
      </c>
    </row>
    <row r="12" spans="1:6" ht="15" customHeight="1">
      <c r="B12" s="564"/>
      <c r="C12" s="564"/>
      <c r="D12" s="257" t="s">
        <v>104</v>
      </c>
      <c r="E12" s="259">
        <v>1.7</v>
      </c>
    </row>
    <row r="13" spans="1:6" ht="15" customHeight="1">
      <c r="B13" s="564"/>
      <c r="C13" s="564"/>
      <c r="D13" s="188"/>
      <c r="E13" s="189"/>
    </row>
    <row r="14" spans="1:6" ht="15" customHeight="1">
      <c r="B14" s="564"/>
      <c r="C14" s="564"/>
      <c r="D14" s="190" t="s">
        <v>105</v>
      </c>
      <c r="E14" s="192">
        <f>E12*E11</f>
        <v>11486.9</v>
      </c>
    </row>
    <row r="15" spans="1:6" ht="15" customHeight="1">
      <c r="B15" s="188"/>
      <c r="C15" s="564"/>
      <c r="D15" s="190"/>
      <c r="E15" s="193"/>
    </row>
    <row r="17" spans="1:6">
      <c r="B17" s="194"/>
      <c r="C17" s="194"/>
      <c r="D17" s="194"/>
      <c r="E17" s="194"/>
      <c r="F17" s="194"/>
    </row>
    <row r="18" spans="1:6" ht="18.5">
      <c r="B18" s="563"/>
      <c r="C18" s="563"/>
      <c r="D18" s="563"/>
      <c r="E18" s="563"/>
    </row>
    <row r="19" spans="1:6">
      <c r="B19" s="186" t="s">
        <v>96</v>
      </c>
      <c r="C19" s="186" t="s">
        <v>97</v>
      </c>
      <c r="D19" s="186" t="s">
        <v>98</v>
      </c>
      <c r="E19" s="187" t="s">
        <v>99</v>
      </c>
    </row>
    <row r="20" spans="1:6">
      <c r="B20" s="186"/>
      <c r="C20" s="186"/>
      <c r="D20" s="186"/>
    </row>
    <row r="21" spans="1:6" ht="30" customHeight="1">
      <c r="A21" s="185">
        <v>2</v>
      </c>
      <c r="B21" s="565" t="s">
        <v>106</v>
      </c>
      <c r="C21" s="566" t="s">
        <v>107</v>
      </c>
      <c r="D21" s="254" t="s">
        <v>108</v>
      </c>
      <c r="E21" s="255">
        <v>35</v>
      </c>
      <c r="F21" s="256"/>
    </row>
    <row r="22" spans="1:6">
      <c r="B22" s="565"/>
      <c r="C22" s="567"/>
      <c r="D22" s="257" t="s">
        <v>109</v>
      </c>
      <c r="E22" s="255">
        <v>270</v>
      </c>
      <c r="F22" s="256"/>
    </row>
    <row r="23" spans="1:6">
      <c r="B23" s="565"/>
      <c r="C23" s="567"/>
      <c r="D23" s="257" t="s">
        <v>110</v>
      </c>
      <c r="E23" s="255">
        <v>2019</v>
      </c>
      <c r="F23" s="256"/>
    </row>
    <row r="24" spans="1:6" ht="15" customHeight="1">
      <c r="B24" s="566"/>
      <c r="C24" s="567"/>
      <c r="D24" s="257" t="s">
        <v>111</v>
      </c>
      <c r="E24" s="259">
        <v>52.31</v>
      </c>
      <c r="F24" s="256">
        <f>E24*560</f>
        <v>29293.600000000002</v>
      </c>
    </row>
    <row r="25" spans="1:6" ht="15" customHeight="1">
      <c r="B25" s="566"/>
      <c r="C25" s="567"/>
      <c r="D25" s="257" t="s">
        <v>112</v>
      </c>
      <c r="E25" s="258">
        <v>7.63</v>
      </c>
      <c r="F25" s="256">
        <f>E25*560</f>
        <v>4272.8</v>
      </c>
    </row>
    <row r="26" spans="1:6" ht="15" customHeight="1">
      <c r="B26" s="566"/>
      <c r="C26" s="567"/>
      <c r="D26" s="257" t="s">
        <v>113</v>
      </c>
      <c r="E26" s="259">
        <v>0.42</v>
      </c>
      <c r="F26" s="256">
        <f>E26*560</f>
        <v>235.2</v>
      </c>
    </row>
    <row r="27" spans="1:6" ht="15" customHeight="1">
      <c r="B27" s="566"/>
      <c r="C27" s="567"/>
      <c r="D27" s="249" t="s">
        <v>114</v>
      </c>
      <c r="E27" s="250">
        <f>E21*E24</f>
        <v>1830.8500000000001</v>
      </c>
      <c r="F27" s="256">
        <f>1831*560</f>
        <v>1025360</v>
      </c>
    </row>
    <row r="28" spans="1:6" ht="15" customHeight="1">
      <c r="B28" s="566"/>
      <c r="C28" s="567"/>
      <c r="D28" s="251" t="s">
        <v>115</v>
      </c>
      <c r="E28" s="250">
        <f>E22*E25</f>
        <v>2060.1</v>
      </c>
      <c r="F28" s="256">
        <f>2060*560</f>
        <v>1153600</v>
      </c>
    </row>
    <row r="29" spans="1:6" ht="15" customHeight="1">
      <c r="B29" s="566"/>
      <c r="C29" s="567"/>
      <c r="D29" s="249" t="s">
        <v>113</v>
      </c>
      <c r="E29" s="250">
        <f>E26*E23</f>
        <v>847.98</v>
      </c>
      <c r="F29" s="256">
        <f>848*560</f>
        <v>474880</v>
      </c>
    </row>
    <row r="30" spans="1:6" ht="15" customHeight="1">
      <c r="B30" s="566"/>
      <c r="C30" s="567"/>
      <c r="D30" s="257"/>
      <c r="E30" s="260"/>
      <c r="F30" s="261"/>
    </row>
    <row r="31" spans="1:6">
      <c r="B31" s="566"/>
      <c r="C31" s="567"/>
      <c r="D31" s="262" t="s">
        <v>116</v>
      </c>
      <c r="E31" s="263">
        <f>E27+E28+E29</f>
        <v>4738.93</v>
      </c>
      <c r="F31" s="317">
        <f>E31*560</f>
        <v>2653800.8000000003</v>
      </c>
    </row>
    <row r="32" spans="1:6" ht="10.5" customHeight="1" thickBot="1">
      <c r="B32" s="569"/>
      <c r="C32" s="568"/>
      <c r="D32" s="264"/>
      <c r="E32" s="255"/>
      <c r="F32" s="255"/>
    </row>
    <row r="33" spans="1:7" ht="10.5" customHeight="1">
      <c r="B33" s="199"/>
      <c r="C33" s="200"/>
      <c r="D33" s="190"/>
    </row>
    <row r="34" spans="1:7" ht="10.5" customHeight="1">
      <c r="B34" s="201"/>
      <c r="C34" s="202"/>
      <c r="D34" s="203"/>
      <c r="E34" s="194"/>
      <c r="F34" s="194"/>
    </row>
    <row r="35" spans="1:7" s="204" customFormat="1" ht="10.5" customHeight="1">
      <c r="B35" s="185"/>
      <c r="C35" s="185"/>
      <c r="D35" s="185"/>
      <c r="E35" s="185"/>
      <c r="F35" s="185"/>
      <c r="G35" s="185"/>
    </row>
    <row r="37" spans="1:7">
      <c r="B37" s="205" t="s">
        <v>96</v>
      </c>
      <c r="C37" s="205" t="s">
        <v>97</v>
      </c>
      <c r="D37" s="205" t="s">
        <v>98</v>
      </c>
      <c r="E37" s="205" t="s">
        <v>117</v>
      </c>
    </row>
    <row r="38" spans="1:7" ht="93">
      <c r="A38" s="185">
        <v>3</v>
      </c>
      <c r="B38" s="206" t="s">
        <v>118</v>
      </c>
      <c r="C38" s="267" t="s">
        <v>119</v>
      </c>
      <c r="D38" s="268" t="s">
        <v>120</v>
      </c>
      <c r="E38" s="249">
        <v>1</v>
      </c>
      <c r="F38" s="255"/>
    </row>
    <row r="39" spans="1:7" ht="32.25" customHeight="1">
      <c r="C39" s="560" t="s">
        <v>121</v>
      </c>
      <c r="D39" s="268" t="s">
        <v>122</v>
      </c>
      <c r="E39" s="249">
        <v>1</v>
      </c>
      <c r="F39" s="255"/>
    </row>
    <row r="40" spans="1:7" ht="26.25" customHeight="1">
      <c r="C40" s="560"/>
      <c r="D40" s="268" t="s">
        <v>123</v>
      </c>
      <c r="E40" s="280">
        <f>250000/589.84</f>
        <v>423.8437542384375</v>
      </c>
      <c r="F40" s="256">
        <f>E40*560</f>
        <v>237352.502373525</v>
      </c>
    </row>
    <row r="41" spans="1:7" ht="30.75" customHeight="1">
      <c r="C41" s="560"/>
      <c r="D41" s="268" t="s">
        <v>124</v>
      </c>
      <c r="E41" s="280">
        <f>250000/589.84</f>
        <v>423.8437542384375</v>
      </c>
      <c r="F41" s="256">
        <f>E41*560</f>
        <v>237352.502373525</v>
      </c>
    </row>
    <row r="42" spans="1:7">
      <c r="C42" s="560"/>
      <c r="D42" s="268" t="s">
        <v>125</v>
      </c>
      <c r="E42" s="280">
        <f>17.9*1500/589.84</f>
        <v>45.520819205208184</v>
      </c>
      <c r="F42" s="256">
        <f>E42*589.84</f>
        <v>26849.999999999996</v>
      </c>
      <c r="G42" s="269">
        <f>17.9*1500</f>
        <v>26849.999999999996</v>
      </c>
    </row>
    <row r="43" spans="1:7">
      <c r="C43" s="255"/>
      <c r="D43" s="267" t="s">
        <v>126</v>
      </c>
      <c r="E43" s="280">
        <f>25000*2/589.84</f>
        <v>84.7687508476875</v>
      </c>
      <c r="F43" s="256">
        <f>E43*560</f>
        <v>47470.500474704997</v>
      </c>
      <c r="G43" s="269">
        <f>589.84*84.77</f>
        <v>50000.736799999999</v>
      </c>
    </row>
    <row r="44" spans="1:7">
      <c r="C44" s="255"/>
      <c r="D44" s="267" t="s">
        <v>127</v>
      </c>
      <c r="E44" s="269">
        <f>151*500/589.84</f>
        <v>128.00081378000814</v>
      </c>
      <c r="F44" s="256">
        <f>E44*560</f>
        <v>71680.455716804558</v>
      </c>
      <c r="G44" s="185">
        <f>E44*589.84</f>
        <v>75500.000000000015</v>
      </c>
    </row>
    <row r="45" spans="1:7">
      <c r="D45" s="207"/>
      <c r="F45" s="176"/>
    </row>
    <row r="46" spans="1:7">
      <c r="D46" s="182" t="s">
        <v>128</v>
      </c>
      <c r="E46" s="173">
        <f>+E44+E43+E42+E41+E40</f>
        <v>1105.9778923097788</v>
      </c>
      <c r="F46" s="173">
        <f>+F44+F43+F42+F41+F40</f>
        <v>620705.96093855961</v>
      </c>
    </row>
    <row r="47" spans="1:7">
      <c r="F47" s="176"/>
    </row>
    <row r="48" spans="1:7">
      <c r="B48" s="194"/>
      <c r="C48" s="194"/>
      <c r="D48" s="194"/>
      <c r="E48" s="194"/>
      <c r="F48" s="194"/>
    </row>
    <row r="51" spans="1:7">
      <c r="B51" s="205" t="s">
        <v>96</v>
      </c>
      <c r="C51" s="205" t="s">
        <v>97</v>
      </c>
      <c r="D51" s="205" t="s">
        <v>98</v>
      </c>
      <c r="E51" s="205" t="s">
        <v>99</v>
      </c>
    </row>
    <row r="52" spans="1:7" ht="31">
      <c r="A52" s="185">
        <v>4</v>
      </c>
      <c r="B52" s="207" t="s">
        <v>129</v>
      </c>
      <c r="C52" s="206" t="s">
        <v>130</v>
      </c>
      <c r="D52" s="270" t="s">
        <v>131</v>
      </c>
      <c r="E52" s="270">
        <v>9</v>
      </c>
      <c r="F52" s="255"/>
    </row>
    <row r="53" spans="1:7" ht="18" customHeight="1">
      <c r="B53" s="207"/>
      <c r="C53" s="561" t="s">
        <v>132</v>
      </c>
      <c r="D53" s="270" t="s">
        <v>133</v>
      </c>
      <c r="E53" s="270">
        <v>3</v>
      </c>
      <c r="F53" s="255"/>
    </row>
    <row r="54" spans="1:7">
      <c r="C54" s="561"/>
      <c r="D54" s="255" t="s">
        <v>134</v>
      </c>
      <c r="E54" s="260">
        <v>11.02</v>
      </c>
      <c r="F54" s="256">
        <f>E54*589.84</f>
        <v>6500.0367999999999</v>
      </c>
    </row>
    <row r="55" spans="1:7">
      <c r="C55" s="207"/>
      <c r="D55" s="255"/>
      <c r="E55" s="255"/>
      <c r="F55" s="281">
        <f>F54*E52*E53</f>
        <v>175500.99359999999</v>
      </c>
    </row>
    <row r="56" spans="1:7">
      <c r="D56" s="182" t="s">
        <v>135</v>
      </c>
      <c r="E56" s="173">
        <f>E54*E53*E52</f>
        <v>297.54000000000002</v>
      </c>
      <c r="F56" s="244">
        <f>E56*589.84</f>
        <v>175500.99360000002</v>
      </c>
      <c r="G56" s="244" t="e">
        <f>#REF!</f>
        <v>#REF!</v>
      </c>
    </row>
    <row r="58" spans="1:7">
      <c r="B58" s="194"/>
      <c r="C58" s="194"/>
      <c r="D58" s="194"/>
      <c r="E58" s="194"/>
      <c r="F58" s="194"/>
    </row>
    <row r="59" spans="1:7" ht="12.75" customHeight="1"/>
    <row r="61" spans="1:7">
      <c r="B61" s="205" t="s">
        <v>96</v>
      </c>
      <c r="C61" s="205" t="s">
        <v>97</v>
      </c>
      <c r="D61" s="205" t="s">
        <v>98</v>
      </c>
      <c r="E61" s="205" t="s">
        <v>99</v>
      </c>
    </row>
    <row r="62" spans="1:7" ht="33.75" customHeight="1">
      <c r="A62" s="185">
        <v>5</v>
      </c>
      <c r="B62" s="561" t="s">
        <v>136</v>
      </c>
      <c r="C62" s="562" t="s">
        <v>137</v>
      </c>
      <c r="D62" s="270" t="s">
        <v>131</v>
      </c>
      <c r="E62" s="270">
        <v>20</v>
      </c>
    </row>
    <row r="63" spans="1:7">
      <c r="B63" s="561"/>
      <c r="C63" s="562"/>
      <c r="D63" s="270" t="s">
        <v>133</v>
      </c>
      <c r="E63" s="270">
        <v>1</v>
      </c>
    </row>
    <row r="64" spans="1:7">
      <c r="B64" s="561"/>
      <c r="C64" s="562"/>
      <c r="D64" s="270" t="s">
        <v>134</v>
      </c>
      <c r="E64" s="271">
        <v>11.02</v>
      </c>
      <c r="F64" s="185">
        <f>E64*560</f>
        <v>6171.2</v>
      </c>
    </row>
    <row r="65" spans="1:6">
      <c r="B65" s="561"/>
      <c r="C65" s="562"/>
      <c r="D65" s="255"/>
      <c r="E65" s="270"/>
    </row>
    <row r="66" spans="1:6">
      <c r="B66" s="561"/>
      <c r="C66" s="562"/>
      <c r="D66" s="182" t="s">
        <v>138</v>
      </c>
      <c r="E66" s="173">
        <f>E62*E63*E64</f>
        <v>220.39999999999998</v>
      </c>
      <c r="F66" s="185">
        <f>E66*589.84</f>
        <v>130000.73599999999</v>
      </c>
    </row>
    <row r="68" spans="1:6">
      <c r="B68" s="194"/>
      <c r="C68" s="194"/>
      <c r="D68" s="194"/>
      <c r="E68" s="194"/>
      <c r="F68" s="194"/>
    </row>
    <row r="70" spans="1:6">
      <c r="B70" s="210"/>
      <c r="C70" s="210"/>
      <c r="D70" s="210"/>
      <c r="E70" s="210"/>
    </row>
    <row r="71" spans="1:6" ht="17.25" customHeight="1">
      <c r="B71" s="205" t="s">
        <v>96</v>
      </c>
      <c r="C71" s="205" t="s">
        <v>97</v>
      </c>
      <c r="D71" s="205" t="s">
        <v>98</v>
      </c>
      <c r="E71" s="205" t="s">
        <v>99</v>
      </c>
    </row>
    <row r="72" spans="1:6" ht="48" customHeight="1">
      <c r="A72" s="185">
        <v>6</v>
      </c>
      <c r="B72" s="570" t="s">
        <v>139</v>
      </c>
      <c r="C72" s="570" t="s">
        <v>140</v>
      </c>
      <c r="D72" s="252" t="s">
        <v>141</v>
      </c>
      <c r="E72" s="185">
        <v>10</v>
      </c>
    </row>
    <row r="73" spans="1:6" ht="89.25" customHeight="1">
      <c r="B73" s="570"/>
      <c r="C73" s="570"/>
      <c r="D73" s="208" t="s">
        <v>142</v>
      </c>
      <c r="E73" s="209">
        <v>3</v>
      </c>
    </row>
    <row r="74" spans="1:6" ht="44.25" customHeight="1">
      <c r="C74" s="570"/>
      <c r="D74" s="207" t="s">
        <v>143</v>
      </c>
      <c r="E74" s="209">
        <v>8</v>
      </c>
    </row>
    <row r="75" spans="1:6" ht="36" customHeight="1">
      <c r="D75" s="206" t="s">
        <v>144</v>
      </c>
      <c r="E75" s="209">
        <v>2</v>
      </c>
    </row>
    <row r="76" spans="1:6" ht="31.5" customHeight="1">
      <c r="D76" s="207" t="s">
        <v>145</v>
      </c>
      <c r="E76" s="209">
        <v>2</v>
      </c>
    </row>
    <row r="77" spans="1:6" ht="31">
      <c r="D77" s="207" t="s">
        <v>146</v>
      </c>
      <c r="E77" s="209">
        <v>4</v>
      </c>
    </row>
    <row r="78" spans="1:6" ht="31">
      <c r="D78" s="207" t="s">
        <v>147</v>
      </c>
      <c r="E78" s="209">
        <v>2</v>
      </c>
    </row>
    <row r="79" spans="1:6" ht="27" customHeight="1">
      <c r="D79" s="207" t="s">
        <v>148</v>
      </c>
      <c r="E79" s="185">
        <v>5</v>
      </c>
    </row>
    <row r="80" spans="1:6" ht="28.5" customHeight="1">
      <c r="D80" s="207" t="s">
        <v>149</v>
      </c>
      <c r="E80" s="185">
        <v>4</v>
      </c>
    </row>
    <row r="81" spans="2:6" ht="32.25" customHeight="1">
      <c r="D81" s="185" t="s">
        <v>150</v>
      </c>
      <c r="E81" s="185">
        <v>3</v>
      </c>
    </row>
    <row r="82" spans="2:6">
      <c r="D82" s="185" t="s">
        <v>151</v>
      </c>
      <c r="E82" s="185">
        <v>12</v>
      </c>
    </row>
    <row r="83" spans="2:6">
      <c r="D83" s="207" t="s">
        <v>152</v>
      </c>
      <c r="E83" s="185">
        <v>6</v>
      </c>
    </row>
    <row r="84" spans="2:6">
      <c r="D84" s="207" t="s">
        <v>153</v>
      </c>
      <c r="E84" s="185">
        <v>6</v>
      </c>
    </row>
    <row r="85" spans="2:6">
      <c r="D85" s="185" t="s">
        <v>154</v>
      </c>
      <c r="E85" s="185">
        <v>0</v>
      </c>
    </row>
    <row r="86" spans="2:6">
      <c r="D86" s="185" t="s">
        <v>155</v>
      </c>
      <c r="E86" s="185">
        <v>2</v>
      </c>
    </row>
    <row r="87" spans="2:6">
      <c r="D87" s="185" t="s">
        <v>156</v>
      </c>
      <c r="E87" s="185">
        <v>60</v>
      </c>
    </row>
    <row r="88" spans="2:6">
      <c r="D88" s="185" t="s">
        <v>157</v>
      </c>
      <c r="E88" s="195">
        <v>42.38</v>
      </c>
    </row>
    <row r="89" spans="2:6">
      <c r="D89" s="185" t="s">
        <v>158</v>
      </c>
      <c r="E89" s="195">
        <v>8.48</v>
      </c>
    </row>
    <row r="90" spans="2:6">
      <c r="D90" s="185" t="s">
        <v>159</v>
      </c>
      <c r="E90" s="196">
        <v>16.95</v>
      </c>
    </row>
    <row r="91" spans="2:6" ht="31">
      <c r="D91" s="207" t="s">
        <v>160</v>
      </c>
      <c r="E91" s="196">
        <v>42.38</v>
      </c>
    </row>
    <row r="92" spans="2:6">
      <c r="D92" s="185" t="s">
        <v>161</v>
      </c>
      <c r="E92" s="196">
        <v>0</v>
      </c>
    </row>
    <row r="93" spans="2:6">
      <c r="D93" s="185" t="s">
        <v>162</v>
      </c>
      <c r="E93" s="175">
        <v>8.48</v>
      </c>
      <c r="F93" s="244">
        <f>E93*560</f>
        <v>4748.8</v>
      </c>
    </row>
    <row r="94" spans="2:6">
      <c r="B94" s="185">
        <f>1.19*560</f>
        <v>666.4</v>
      </c>
      <c r="D94" s="255" t="s">
        <v>163</v>
      </c>
      <c r="E94" s="273">
        <v>5.09</v>
      </c>
      <c r="F94" s="256">
        <f>E94*560</f>
        <v>2850.4</v>
      </c>
    </row>
    <row r="95" spans="2:6">
      <c r="D95" s="255" t="s">
        <v>164</v>
      </c>
      <c r="E95" s="273">
        <v>11.02</v>
      </c>
      <c r="F95" s="256">
        <f>E95*560</f>
        <v>6171.2</v>
      </c>
    </row>
    <row r="96" spans="2:6" ht="31">
      <c r="D96" s="267" t="s">
        <v>165</v>
      </c>
      <c r="E96" s="274">
        <v>487</v>
      </c>
      <c r="F96" s="255"/>
    </row>
    <row r="97" spans="4:6">
      <c r="D97" s="255" t="s">
        <v>166</v>
      </c>
      <c r="E97" s="273">
        <v>1.186762511867625</v>
      </c>
      <c r="F97" s="256">
        <f>E97*560</f>
        <v>664.58700664587002</v>
      </c>
    </row>
    <row r="98" spans="4:6">
      <c r="D98" s="255" t="s">
        <v>167</v>
      </c>
      <c r="E98" s="273">
        <v>328</v>
      </c>
      <c r="F98" s="255"/>
    </row>
    <row r="99" spans="4:6">
      <c r="D99" s="255" t="s">
        <v>168</v>
      </c>
      <c r="E99" s="273">
        <v>1.69537501695375</v>
      </c>
      <c r="F99" s="256">
        <f>E99*560</f>
        <v>949.4100094941</v>
      </c>
    </row>
    <row r="100" spans="4:6">
      <c r="D100" s="255" t="s">
        <v>169</v>
      </c>
      <c r="E100" s="273">
        <v>328</v>
      </c>
      <c r="F100" s="255"/>
    </row>
    <row r="101" spans="4:6">
      <c r="D101" s="255" t="s">
        <v>170</v>
      </c>
      <c r="E101" s="273">
        <v>5.0861250508612503</v>
      </c>
      <c r="F101" s="256">
        <f t="shared" ref="F101:F112" si="0">E101*560</f>
        <v>2848.2300284823</v>
      </c>
    </row>
    <row r="102" spans="4:6">
      <c r="D102" s="255" t="s">
        <v>133</v>
      </c>
      <c r="E102" s="273">
        <v>1</v>
      </c>
      <c r="F102" s="255"/>
    </row>
    <row r="103" spans="4:6">
      <c r="D103" s="249" t="s">
        <v>171</v>
      </c>
      <c r="E103" s="250">
        <v>3263.6</v>
      </c>
      <c r="F103" s="256">
        <f t="shared" si="0"/>
        <v>1827616</v>
      </c>
    </row>
    <row r="104" spans="4:6">
      <c r="D104" s="249" t="s">
        <v>172</v>
      </c>
      <c r="E104" s="250">
        <v>389.94</v>
      </c>
      <c r="F104" s="256">
        <f t="shared" si="0"/>
        <v>218366.4</v>
      </c>
    </row>
    <row r="105" spans="4:6">
      <c r="D105" s="249" t="s">
        <v>173</v>
      </c>
      <c r="E105" s="269">
        <v>0</v>
      </c>
      <c r="F105" s="256">
        <f t="shared" si="0"/>
        <v>0</v>
      </c>
    </row>
    <row r="106" spans="4:6">
      <c r="D106" s="249" t="s">
        <v>174</v>
      </c>
      <c r="E106" s="250">
        <v>20.34</v>
      </c>
      <c r="F106" s="256">
        <f t="shared" si="0"/>
        <v>11390.4</v>
      </c>
    </row>
    <row r="107" spans="4:6">
      <c r="D107" s="249" t="s">
        <v>175</v>
      </c>
      <c r="E107" s="250">
        <v>661.2</v>
      </c>
      <c r="F107" s="256">
        <f t="shared" si="0"/>
        <v>370272</v>
      </c>
    </row>
    <row r="108" spans="4:6">
      <c r="D108" s="249" t="s">
        <v>176</v>
      </c>
      <c r="E108" s="250">
        <v>2224.33</v>
      </c>
      <c r="F108" s="256">
        <f t="shared" si="0"/>
        <v>1245624.8</v>
      </c>
    </row>
    <row r="109" spans="4:6">
      <c r="D109" s="249" t="s">
        <v>177</v>
      </c>
      <c r="E109" s="250">
        <v>577.95000000000005</v>
      </c>
      <c r="F109" s="256">
        <f t="shared" si="0"/>
        <v>323652</v>
      </c>
    </row>
    <row r="110" spans="4:6">
      <c r="D110" s="249" t="s">
        <v>178</v>
      </c>
      <c r="E110" s="250">
        <v>67.819999999999993</v>
      </c>
      <c r="F110" s="256">
        <f t="shared" si="0"/>
        <v>37979.199999999997</v>
      </c>
    </row>
    <row r="111" spans="4:6">
      <c r="E111" s="198"/>
    </row>
    <row r="112" spans="4:6">
      <c r="D112" s="183" t="s">
        <v>179</v>
      </c>
      <c r="E112" s="173">
        <f>E103+E104+E105+E106+E107+E108+E109+E110</f>
        <v>7205.1799999999994</v>
      </c>
      <c r="F112" s="244">
        <f t="shared" si="0"/>
        <v>4034900.8</v>
      </c>
    </row>
    <row r="113" spans="1:7">
      <c r="D113" s="183"/>
      <c r="E113" s="211"/>
      <c r="F113" s="272" t="e">
        <f>#REF!-'Orcamento detalhado VAS2 2022'!F112</f>
        <v>#REF!</v>
      </c>
    </row>
    <row r="114" spans="1:7">
      <c r="B114" s="194"/>
      <c r="C114" s="194"/>
      <c r="D114" s="194"/>
      <c r="E114" s="194"/>
      <c r="F114" s="194"/>
    </row>
    <row r="117" spans="1:7">
      <c r="B117" s="205" t="s">
        <v>96</v>
      </c>
      <c r="C117" s="205" t="s">
        <v>97</v>
      </c>
      <c r="D117" s="205" t="s">
        <v>98</v>
      </c>
      <c r="E117" s="205" t="s">
        <v>99</v>
      </c>
    </row>
    <row r="118" spans="1:7" ht="18" customHeight="1">
      <c r="A118" s="185">
        <v>7</v>
      </c>
      <c r="B118" s="561" t="s">
        <v>180</v>
      </c>
      <c r="C118" s="570" t="s">
        <v>181</v>
      </c>
      <c r="D118" s="277" t="s">
        <v>182</v>
      </c>
      <c r="E118" s="275">
        <v>357</v>
      </c>
      <c r="G118" s="185">
        <f>E130-E132</f>
        <v>227</v>
      </c>
    </row>
    <row r="119" spans="1:7" ht="28.5" customHeight="1">
      <c r="B119" s="561"/>
      <c r="C119" s="570"/>
      <c r="D119" s="208" t="s">
        <v>183</v>
      </c>
      <c r="E119" s="275">
        <v>63</v>
      </c>
    </row>
    <row r="120" spans="1:7" ht="27.75" customHeight="1">
      <c r="B120" s="561"/>
      <c r="C120" s="570"/>
      <c r="D120" s="208" t="s">
        <v>184</v>
      </c>
      <c r="E120" s="270">
        <v>22</v>
      </c>
    </row>
    <row r="121" spans="1:7">
      <c r="B121" s="561"/>
      <c r="C121" s="570"/>
      <c r="D121" s="208" t="s">
        <v>185</v>
      </c>
      <c r="E121" s="270">
        <v>11</v>
      </c>
    </row>
    <row r="122" spans="1:7">
      <c r="B122" s="561"/>
      <c r="C122" s="570"/>
      <c r="D122" s="208" t="s">
        <v>186</v>
      </c>
      <c r="E122" s="270">
        <v>11</v>
      </c>
    </row>
    <row r="123" spans="1:7">
      <c r="B123" s="561"/>
      <c r="C123" s="570"/>
      <c r="D123" s="208" t="s">
        <v>187</v>
      </c>
      <c r="E123" s="270">
        <v>22</v>
      </c>
    </row>
    <row r="124" spans="1:7" ht="31">
      <c r="B124" s="561"/>
      <c r="C124" s="570"/>
      <c r="D124" s="208" t="s">
        <v>188</v>
      </c>
      <c r="E124" s="270">
        <v>5</v>
      </c>
      <c r="F124" s="272">
        <f>F143*3*5</f>
        <v>356028.75356028741</v>
      </c>
    </row>
    <row r="125" spans="1:7" ht="31">
      <c r="B125" s="561"/>
      <c r="C125" s="570"/>
      <c r="D125" s="208" t="s">
        <v>189</v>
      </c>
      <c r="E125" s="270">
        <v>4</v>
      </c>
      <c r="F125" s="272">
        <f>F144*3*4</f>
        <v>284823.00284822995</v>
      </c>
    </row>
    <row r="126" spans="1:7" ht="31">
      <c r="B126" s="561"/>
      <c r="C126" s="570"/>
      <c r="D126" s="208" t="s">
        <v>190</v>
      </c>
      <c r="E126" s="270">
        <v>5</v>
      </c>
      <c r="F126" s="272">
        <f>SUM(F124:F125)</f>
        <v>640851.75640851737</v>
      </c>
    </row>
    <row r="127" spans="1:7" ht="23.25" customHeight="1">
      <c r="B127" s="561"/>
      <c r="C127" s="570"/>
      <c r="D127" s="208" t="s">
        <v>191</v>
      </c>
      <c r="E127" s="270">
        <v>3</v>
      </c>
      <c r="F127" s="272">
        <f>F126/560</f>
        <v>1144.3781364437809</v>
      </c>
    </row>
    <row r="128" spans="1:7">
      <c r="D128" s="208" t="s">
        <v>192</v>
      </c>
      <c r="E128" s="270">
        <v>1</v>
      </c>
    </row>
    <row r="129" spans="4:7">
      <c r="D129" s="208" t="s">
        <v>193</v>
      </c>
      <c r="E129" s="270">
        <v>11</v>
      </c>
    </row>
    <row r="130" spans="4:7">
      <c r="D130" s="208" t="s">
        <v>156</v>
      </c>
      <c r="E130" s="270">
        <v>515</v>
      </c>
    </row>
    <row r="131" spans="4:7">
      <c r="D131" s="208" t="s">
        <v>194</v>
      </c>
      <c r="E131" s="270">
        <v>2</v>
      </c>
    </row>
    <row r="132" spans="4:7">
      <c r="D132" s="277" t="s">
        <v>195</v>
      </c>
      <c r="E132" s="209">
        <v>288</v>
      </c>
      <c r="G132" s="185">
        <f>E132+F132</f>
        <v>288</v>
      </c>
    </row>
    <row r="133" spans="4:7">
      <c r="D133" s="208" t="s">
        <v>196</v>
      </c>
      <c r="E133" s="209">
        <v>500</v>
      </c>
      <c r="F133" s="244">
        <f>560*E133</f>
        <v>280000</v>
      </c>
      <c r="G133" s="272">
        <f>F133/850</f>
        <v>329.41176470588238</v>
      </c>
    </row>
    <row r="134" spans="4:7">
      <c r="D134" s="208" t="s">
        <v>197</v>
      </c>
      <c r="E134" s="212">
        <f>(50+78+120+210+300+310)*2*0.2</f>
        <v>427.20000000000005</v>
      </c>
      <c r="F134" s="244">
        <f>560*E134</f>
        <v>239232.00000000003</v>
      </c>
      <c r="G134" s="272">
        <f>F134/850</f>
        <v>281.44941176470593</v>
      </c>
    </row>
    <row r="135" spans="4:7">
      <c r="D135" s="208" t="s">
        <v>198</v>
      </c>
      <c r="E135" s="212">
        <f>10*10</f>
        <v>100</v>
      </c>
      <c r="F135" s="244">
        <f>560*E135</f>
        <v>56000</v>
      </c>
      <c r="G135" s="272">
        <f>F135/850</f>
        <v>65.882352941176464</v>
      </c>
    </row>
    <row r="136" spans="4:7">
      <c r="D136" s="208" t="s">
        <v>199</v>
      </c>
      <c r="E136" s="212">
        <f>5*2</f>
        <v>10</v>
      </c>
    </row>
    <row r="137" spans="4:7">
      <c r="D137" s="208" t="s">
        <v>200</v>
      </c>
      <c r="E137" s="212">
        <f>1*2</f>
        <v>2</v>
      </c>
      <c r="F137" s="253"/>
    </row>
    <row r="138" spans="4:7">
      <c r="D138" s="208" t="s">
        <v>201</v>
      </c>
      <c r="E138" s="212">
        <f>1*2</f>
        <v>2</v>
      </c>
      <c r="F138" s="253"/>
    </row>
    <row r="139" spans="4:7">
      <c r="D139" s="208" t="s">
        <v>202</v>
      </c>
      <c r="E139" s="212">
        <f>5000/589.84</f>
        <v>8.47687508476875</v>
      </c>
      <c r="F139" s="253">
        <f t="shared" ref="F139:F149" si="1">E139*560</f>
        <v>4747.0500474705004</v>
      </c>
    </row>
    <row r="140" spans="4:7" ht="15" customHeight="1">
      <c r="D140" s="208" t="s">
        <v>203</v>
      </c>
      <c r="E140" s="212">
        <f>8000/589.84</f>
        <v>13.56300013563</v>
      </c>
      <c r="F140" s="253">
        <f t="shared" si="1"/>
        <v>7595.2800759528</v>
      </c>
    </row>
    <row r="141" spans="4:7" ht="21" customHeight="1">
      <c r="D141" s="208" t="s">
        <v>204</v>
      </c>
      <c r="E141" s="212">
        <f>1500/589.84</f>
        <v>2.5430625254306252</v>
      </c>
      <c r="F141" s="253">
        <f t="shared" si="1"/>
        <v>1424.11501424115</v>
      </c>
    </row>
    <row r="142" spans="4:7">
      <c r="D142" s="208" t="s">
        <v>205</v>
      </c>
      <c r="E142" s="212">
        <f>12500/589.84</f>
        <v>21.192187711921875</v>
      </c>
      <c r="F142" s="253">
        <f t="shared" si="1"/>
        <v>11867.625118676249</v>
      </c>
    </row>
    <row r="143" spans="4:7">
      <c r="D143" s="208" t="s">
        <v>206</v>
      </c>
      <c r="E143" s="212">
        <f>25000/589.84</f>
        <v>42.38437542384375</v>
      </c>
      <c r="F143" s="253">
        <f t="shared" si="1"/>
        <v>23735.250237352499</v>
      </c>
    </row>
    <row r="144" spans="4:7">
      <c r="D144" s="208" t="s">
        <v>207</v>
      </c>
      <c r="E144" s="212">
        <f>25000/589.84</f>
        <v>42.38437542384375</v>
      </c>
      <c r="F144" s="253">
        <f t="shared" si="1"/>
        <v>23735.250237352499</v>
      </c>
    </row>
    <row r="145" spans="4:7" ht="31">
      <c r="D145" s="208" t="s">
        <v>208</v>
      </c>
      <c r="E145" s="212">
        <f>10000/589.84</f>
        <v>16.9537501695375</v>
      </c>
      <c r="F145" s="244">
        <f t="shared" si="1"/>
        <v>9494.1000949410009</v>
      </c>
    </row>
    <row r="146" spans="4:7">
      <c r="D146" s="208" t="s">
        <v>209</v>
      </c>
      <c r="E146" s="212">
        <f>800/589.84</f>
        <v>1.3563000135630001</v>
      </c>
      <c r="F146" s="244">
        <f t="shared" si="1"/>
        <v>759.52800759528009</v>
      </c>
    </row>
    <row r="147" spans="4:7" ht="24" customHeight="1">
      <c r="D147" s="208" t="s">
        <v>210</v>
      </c>
      <c r="E147" s="212">
        <f>5000/589.84</f>
        <v>8.47687508476875</v>
      </c>
      <c r="F147" s="244">
        <f t="shared" si="1"/>
        <v>4747.0500474705004</v>
      </c>
    </row>
    <row r="148" spans="4:7">
      <c r="D148" s="208" t="s">
        <v>211</v>
      </c>
      <c r="E148" s="212">
        <f>3000/589.84</f>
        <v>5.0861250508612503</v>
      </c>
      <c r="F148" s="244">
        <f t="shared" si="1"/>
        <v>2848.2300284823</v>
      </c>
    </row>
    <row r="149" spans="4:7">
      <c r="D149" s="208" t="s">
        <v>212</v>
      </c>
      <c r="E149" s="212">
        <f>5000/589.84</f>
        <v>8.47687508476875</v>
      </c>
      <c r="F149" s="244">
        <f t="shared" si="1"/>
        <v>4747.0500474705004</v>
      </c>
    </row>
    <row r="150" spans="4:7">
      <c r="D150" s="179" t="s">
        <v>213</v>
      </c>
      <c r="E150" s="213">
        <f>E140*E118*E131</f>
        <v>9683.9820968398199</v>
      </c>
      <c r="F150" s="175"/>
      <c r="G150" s="185" t="s">
        <v>405</v>
      </c>
    </row>
    <row r="151" spans="4:7">
      <c r="D151" s="179" t="s">
        <v>214</v>
      </c>
      <c r="E151" s="213">
        <f>(E119+E120)*E139*2</f>
        <v>1441.0687644106874</v>
      </c>
      <c r="F151" s="175"/>
    </row>
    <row r="152" spans="4:7" ht="15" customHeight="1">
      <c r="D152" s="179" t="s">
        <v>215</v>
      </c>
      <c r="E152" s="213">
        <f>E142*E123*E131</f>
        <v>932.45625932456255</v>
      </c>
      <c r="F152" s="175"/>
    </row>
    <row r="153" spans="4:7" ht="29">
      <c r="D153" s="179" t="s">
        <v>216</v>
      </c>
      <c r="E153" s="213">
        <f>E143*(E124+E125)*3</f>
        <v>1144.3781364437812</v>
      </c>
      <c r="F153" s="278" t="e">
        <f>#REF!+#REF!</f>
        <v>#REF!</v>
      </c>
      <c r="G153" s="177"/>
    </row>
    <row r="154" spans="4:7" ht="29">
      <c r="D154" s="179" t="s">
        <v>217</v>
      </c>
      <c r="E154" s="213">
        <f>(E126+E127)*E143*2</f>
        <v>678.1500067815</v>
      </c>
      <c r="F154" s="279" t="e">
        <f>F153/560</f>
        <v>#REF!</v>
      </c>
    </row>
    <row r="155" spans="4:7">
      <c r="D155" s="179" t="s">
        <v>218</v>
      </c>
      <c r="E155" s="213">
        <f>(E143*E128)*7</f>
        <v>296.69062796690628</v>
      </c>
      <c r="F155" s="279">
        <f>E155*560</f>
        <v>166146.75166146751</v>
      </c>
    </row>
    <row r="156" spans="4:7" ht="28.5" customHeight="1">
      <c r="D156" s="179" t="s">
        <v>219</v>
      </c>
      <c r="E156" s="213">
        <f>E147*E121*2</f>
        <v>186.4912518649125</v>
      </c>
      <c r="F156" s="279">
        <f t="shared" ref="F156:F165" si="2">E156*560</f>
        <v>104435.101044351</v>
      </c>
      <c r="G156" s="272">
        <f>F156/11</f>
        <v>9494.1000949410009</v>
      </c>
    </row>
    <row r="157" spans="4:7" ht="19.5" customHeight="1">
      <c r="D157" s="179" t="s">
        <v>220</v>
      </c>
      <c r="E157" s="213">
        <f>E148*E122*2</f>
        <v>111.89475111894751</v>
      </c>
      <c r="F157" s="279">
        <f t="shared" si="2"/>
        <v>62661.060626610604</v>
      </c>
    </row>
    <row r="158" spans="4:7" ht="17.25" customHeight="1">
      <c r="D158" s="179" t="s">
        <v>175</v>
      </c>
      <c r="E158" s="213">
        <f>E149*E130*E131</f>
        <v>8731.181337311813</v>
      </c>
      <c r="F158" s="279">
        <f t="shared" si="2"/>
        <v>4889461.5488946149</v>
      </c>
    </row>
    <row r="159" spans="4:7" ht="29">
      <c r="D159" s="179" t="s">
        <v>221</v>
      </c>
      <c r="E159" s="213">
        <f>(3000/589.84)*E132*2</f>
        <v>2929.6080292960801</v>
      </c>
      <c r="F159" s="279">
        <f t="shared" si="2"/>
        <v>1640580.4964058048</v>
      </c>
    </row>
    <row r="160" spans="4:7">
      <c r="D160" s="179" t="s">
        <v>222</v>
      </c>
      <c r="E160" s="213">
        <f>E146*E133</f>
        <v>678.15000678150011</v>
      </c>
      <c r="F160" s="279">
        <f>E160*589.84</f>
        <v>400000.00000000006</v>
      </c>
    </row>
    <row r="161" spans="1:6" ht="18.75" customHeight="1">
      <c r="D161" s="180" t="s">
        <v>223</v>
      </c>
      <c r="E161" s="213">
        <f>750/589.84*E134</f>
        <v>543.1981554319816</v>
      </c>
      <c r="F161" s="279">
        <f>E161*589.84</f>
        <v>320400.00000000006</v>
      </c>
    </row>
    <row r="162" spans="1:6" ht="18.75" customHeight="1">
      <c r="D162" s="180" t="s">
        <v>224</v>
      </c>
      <c r="E162" s="213">
        <f>650/589.84*E135</f>
        <v>110.19937610199375</v>
      </c>
      <c r="F162" s="279">
        <f>E162*589.84</f>
        <v>65000</v>
      </c>
    </row>
    <row r="163" spans="1:6" ht="20.25" customHeight="1">
      <c r="D163" s="180" t="s">
        <v>225</v>
      </c>
      <c r="E163" s="213">
        <f>690/589.84*E136</f>
        <v>11.698087616980875</v>
      </c>
      <c r="F163" s="279">
        <f t="shared" si="2"/>
        <v>6550.92906550929</v>
      </c>
    </row>
    <row r="164" spans="1:6" ht="18" customHeight="1">
      <c r="D164" s="180" t="s">
        <v>226</v>
      </c>
      <c r="E164" s="213">
        <f>2800/589.84*E137</f>
        <v>9.4941000949410004</v>
      </c>
      <c r="F164" s="279">
        <f t="shared" si="2"/>
        <v>5316.6960531669602</v>
      </c>
    </row>
    <row r="165" spans="1:6" ht="17.25" customHeight="1">
      <c r="D165" s="180" t="s">
        <v>227</v>
      </c>
      <c r="E165" s="213">
        <f>3300/589.84*E138</f>
        <v>11.189475111894751</v>
      </c>
      <c r="F165" s="279">
        <f t="shared" si="2"/>
        <v>6266.1060626610606</v>
      </c>
    </row>
    <row r="166" spans="1:6" ht="14.25" customHeight="1">
      <c r="E166" s="198"/>
    </row>
    <row r="167" spans="1:6" ht="25.5" customHeight="1">
      <c r="D167" s="214" t="s">
        <v>228</v>
      </c>
      <c r="E167" s="173">
        <f>SUM(E150:E165)</f>
        <v>27499.830462498303</v>
      </c>
    </row>
    <row r="168" spans="1:6" ht="18" customHeight="1">
      <c r="D168" s="214"/>
      <c r="E168" s="211"/>
    </row>
    <row r="169" spans="1:6" ht="18" customHeight="1">
      <c r="B169" s="194"/>
      <c r="C169" s="194"/>
      <c r="D169" s="215"/>
      <c r="E169" s="216"/>
      <c r="F169" s="216"/>
    </row>
    <row r="172" spans="1:6">
      <c r="B172" s="183" t="s">
        <v>96</v>
      </c>
      <c r="C172" s="183" t="s">
        <v>97</v>
      </c>
      <c r="D172" s="183" t="s">
        <v>98</v>
      </c>
      <c r="E172" s="183" t="s">
        <v>99</v>
      </c>
    </row>
    <row r="174" spans="1:6" ht="62">
      <c r="A174" s="185">
        <v>8</v>
      </c>
      <c r="B174" s="206" t="s">
        <v>229</v>
      </c>
      <c r="C174" s="570" t="s">
        <v>230</v>
      </c>
      <c r="D174" s="277" t="s">
        <v>231</v>
      </c>
      <c r="E174" s="283">
        <v>2</v>
      </c>
    </row>
    <row r="175" spans="1:6" ht="24.75" customHeight="1">
      <c r="C175" s="570"/>
      <c r="D175" s="284" t="s">
        <v>232</v>
      </c>
      <c r="E175" s="283">
        <v>2</v>
      </c>
    </row>
    <row r="176" spans="1:6" ht="31">
      <c r="C176" s="570"/>
      <c r="D176" s="207" t="s">
        <v>233</v>
      </c>
      <c r="E176" s="283">
        <v>1</v>
      </c>
    </row>
    <row r="177" spans="3:6" ht="31">
      <c r="C177" s="570"/>
      <c r="D177" s="207" t="s">
        <v>234</v>
      </c>
      <c r="E177" s="195">
        <f>(45+78)*2*0.2</f>
        <v>49.2</v>
      </c>
    </row>
    <row r="178" spans="3:6">
      <c r="C178" s="570"/>
      <c r="D178" s="207" t="s">
        <v>235</v>
      </c>
      <c r="E178" s="185">
        <f>(120)*2*0.2</f>
        <v>48</v>
      </c>
    </row>
    <row r="179" spans="3:6" ht="31">
      <c r="C179" s="570"/>
      <c r="D179" s="207" t="s">
        <v>236</v>
      </c>
      <c r="E179" s="195">
        <f>204*2*0.2</f>
        <v>81.600000000000009</v>
      </c>
    </row>
    <row r="180" spans="3:6" ht="31">
      <c r="D180" s="207" t="s">
        <v>237</v>
      </c>
      <c r="E180" s="185">
        <f>(300+75)*2*0.2</f>
        <v>150</v>
      </c>
    </row>
    <row r="181" spans="3:6" ht="31">
      <c r="D181" s="207" t="s">
        <v>238</v>
      </c>
      <c r="E181" s="185">
        <f>E177+E178+E179+E180</f>
        <v>328.8</v>
      </c>
    </row>
    <row r="182" spans="3:6">
      <c r="D182" s="207" t="s">
        <v>239</v>
      </c>
      <c r="E182" s="185">
        <f>1*2</f>
        <v>2</v>
      </c>
    </row>
    <row r="183" spans="3:6">
      <c r="D183" s="207" t="s">
        <v>240</v>
      </c>
      <c r="E183" s="185">
        <f>1*2</f>
        <v>2</v>
      </c>
    </row>
    <row r="184" spans="3:6" ht="19.5" customHeight="1">
      <c r="D184" s="207" t="s">
        <v>241</v>
      </c>
      <c r="E184" s="283">
        <v>5</v>
      </c>
    </row>
    <row r="185" spans="3:6" ht="31">
      <c r="D185" s="207" t="s">
        <v>242</v>
      </c>
      <c r="E185" s="283">
        <v>1</v>
      </c>
    </row>
    <row r="186" spans="3:6" ht="15.75" customHeight="1">
      <c r="D186" s="207" t="s">
        <v>243</v>
      </c>
      <c r="E186" s="185">
        <v>2</v>
      </c>
    </row>
    <row r="187" spans="3:6">
      <c r="D187" s="207" t="s">
        <v>244</v>
      </c>
      <c r="E187" s="185">
        <v>3</v>
      </c>
    </row>
    <row r="188" spans="3:6">
      <c r="D188" s="207" t="s">
        <v>245</v>
      </c>
    </row>
    <row r="189" spans="3:6">
      <c r="D189" s="207" t="s">
        <v>246</v>
      </c>
      <c r="E189" s="253">
        <f>25000/589.84</f>
        <v>42.38437542384375</v>
      </c>
    </row>
    <row r="190" spans="3:6">
      <c r="D190" s="207" t="s">
        <v>247</v>
      </c>
      <c r="E190" s="195">
        <f>10000/589.84</f>
        <v>16.9537501695375</v>
      </c>
    </row>
    <row r="191" spans="3:6">
      <c r="D191" s="207" t="s">
        <v>248</v>
      </c>
      <c r="E191" s="195">
        <f>25000/589.84</f>
        <v>42.38437542384375</v>
      </c>
      <c r="F191" s="174"/>
    </row>
    <row r="192" spans="3:6">
      <c r="D192" s="207" t="s">
        <v>249</v>
      </c>
      <c r="E192" s="195">
        <f>700/589.84</f>
        <v>1.186762511867625</v>
      </c>
    </row>
    <row r="193" spans="2:6">
      <c r="D193" s="207" t="s">
        <v>250</v>
      </c>
      <c r="E193" s="195">
        <f>2250/589.84</f>
        <v>3.8145937881459377</v>
      </c>
    </row>
    <row r="194" spans="2:6">
      <c r="D194" s="207" t="s">
        <v>251</v>
      </c>
      <c r="E194" s="195">
        <f>21500/589.84</f>
        <v>36.450562864505628</v>
      </c>
      <c r="F194" s="185" t="e">
        <f>#REF!</f>
        <v>#REF!</v>
      </c>
    </row>
    <row r="195" spans="2:6">
      <c r="C195" s="181"/>
      <c r="D195" s="181" t="s">
        <v>252</v>
      </c>
      <c r="E195" s="285">
        <f>(E174+E175+E176)*E184*E189</f>
        <v>1059.6093855960937</v>
      </c>
      <c r="F195" s="244" t="e">
        <f>F194/589.84</f>
        <v>#REF!</v>
      </c>
    </row>
    <row r="196" spans="2:6">
      <c r="D196" s="181" t="s">
        <v>253</v>
      </c>
      <c r="E196" s="285">
        <f>E186*E187*E189</f>
        <v>254.3062525430625</v>
      </c>
      <c r="F196" s="244">
        <f>589.84*E196</f>
        <v>150000</v>
      </c>
    </row>
    <row r="197" spans="2:6">
      <c r="D197" s="181" t="s">
        <v>254</v>
      </c>
      <c r="E197" s="285">
        <f>E190*E186*E174</f>
        <v>67.81500067815</v>
      </c>
      <c r="F197" s="196"/>
    </row>
    <row r="198" spans="2:6" ht="29">
      <c r="D198" s="181" t="s">
        <v>255</v>
      </c>
      <c r="E198" s="285">
        <f>E191</f>
        <v>42.38437542384375</v>
      </c>
      <c r="F198" s="196">
        <f>E198*589.84</f>
        <v>25000</v>
      </c>
    </row>
    <row r="199" spans="2:6">
      <c r="D199" s="181" t="s">
        <v>256</v>
      </c>
      <c r="E199" s="285">
        <f>E181*E192</f>
        <v>390.20751390207511</v>
      </c>
      <c r="F199" s="196" t="e">
        <f>#REF!/589.84</f>
        <v>#REF!</v>
      </c>
    </row>
    <row r="200" spans="2:6">
      <c r="D200" s="181" t="s">
        <v>257</v>
      </c>
      <c r="E200" s="285">
        <f>E182*E193</f>
        <v>7.6291875762918755</v>
      </c>
      <c r="F200" s="196">
        <f>E200*589.84</f>
        <v>4500</v>
      </c>
    </row>
    <row r="201" spans="2:6">
      <c r="D201" s="181" t="s">
        <v>258</v>
      </c>
      <c r="E201" s="285">
        <f>E183*E194</f>
        <v>72.901125729011255</v>
      </c>
      <c r="F201" s="196">
        <f>E201*589.84</f>
        <v>43000</v>
      </c>
    </row>
    <row r="202" spans="2:6">
      <c r="E202" s="198"/>
      <c r="F202" s="196">
        <f>43058/2</f>
        <v>21529</v>
      </c>
    </row>
    <row r="203" spans="2:6" ht="34.5" customHeight="1">
      <c r="D203" s="182" t="s">
        <v>259</v>
      </c>
      <c r="E203" s="173">
        <f>SUM(E195:E201)</f>
        <v>1894.8528414485281</v>
      </c>
    </row>
    <row r="205" spans="2:6">
      <c r="B205" s="194"/>
      <c r="C205" s="194"/>
      <c r="D205" s="194"/>
      <c r="E205" s="194"/>
      <c r="F205" s="194"/>
    </row>
    <row r="208" spans="2:6" ht="30" customHeight="1">
      <c r="B208" s="205" t="s">
        <v>96</v>
      </c>
      <c r="C208" s="205" t="s">
        <v>97</v>
      </c>
      <c r="D208" s="205" t="s">
        <v>98</v>
      </c>
      <c r="E208" s="205" t="s">
        <v>99</v>
      </c>
    </row>
    <row r="209" spans="1:6" ht="31.5" customHeight="1">
      <c r="A209" s="185">
        <v>9</v>
      </c>
      <c r="B209" s="185" t="s">
        <v>260</v>
      </c>
      <c r="C209" s="570" t="s">
        <v>261</v>
      </c>
      <c r="D209" s="207" t="s">
        <v>262</v>
      </c>
      <c r="E209" s="185">
        <v>14</v>
      </c>
    </row>
    <row r="210" spans="1:6">
      <c r="C210" s="570"/>
      <c r="D210" s="207" t="s">
        <v>263</v>
      </c>
      <c r="E210" s="185">
        <v>2</v>
      </c>
    </row>
    <row r="211" spans="1:6" ht="31">
      <c r="C211" s="570"/>
      <c r="D211" s="207" t="s">
        <v>264</v>
      </c>
      <c r="E211" s="185">
        <v>14</v>
      </c>
    </row>
    <row r="212" spans="1:6" ht="31">
      <c r="C212" s="570"/>
      <c r="D212" s="207" t="s">
        <v>265</v>
      </c>
      <c r="E212" s="185">
        <v>5</v>
      </c>
    </row>
    <row r="213" spans="1:6" ht="31">
      <c r="C213" s="570"/>
      <c r="D213" s="207" t="s">
        <v>266</v>
      </c>
      <c r="E213" s="185">
        <v>9</v>
      </c>
    </row>
    <row r="214" spans="1:6" ht="28.5" customHeight="1">
      <c r="C214" s="570"/>
      <c r="D214" s="218" t="s">
        <v>267</v>
      </c>
      <c r="E214" s="185">
        <f>(50+75*2+60+120+150+210*2+240+300*2+290)*2*0.2+(100*5*14*0.2)+25*2*5</f>
        <v>2482</v>
      </c>
    </row>
    <row r="215" spans="1:6">
      <c r="C215" s="570"/>
      <c r="D215" s="218" t="s">
        <v>268</v>
      </c>
      <c r="E215" s="185">
        <v>1000</v>
      </c>
    </row>
    <row r="216" spans="1:6" ht="15.65" customHeight="1">
      <c r="C216" s="570"/>
      <c r="D216" s="207" t="s">
        <v>269</v>
      </c>
      <c r="E216" s="185">
        <v>18</v>
      </c>
    </row>
    <row r="217" spans="1:6" ht="15" customHeight="1">
      <c r="C217" s="570"/>
      <c r="D217" s="207" t="s">
        <v>270</v>
      </c>
      <c r="E217" s="185">
        <v>2</v>
      </c>
    </row>
    <row r="218" spans="1:6" ht="13.5" customHeight="1">
      <c r="C218" s="570"/>
      <c r="D218" s="207" t="s">
        <v>271</v>
      </c>
      <c r="E218" s="185">
        <v>2</v>
      </c>
    </row>
    <row r="219" spans="1:6">
      <c r="D219" s="207" t="s">
        <v>272</v>
      </c>
      <c r="E219" s="185">
        <v>2</v>
      </c>
    </row>
    <row r="220" spans="1:6">
      <c r="D220" s="207" t="s">
        <v>273</v>
      </c>
      <c r="E220" s="185">
        <v>2</v>
      </c>
    </row>
    <row r="221" spans="1:6">
      <c r="D221" s="207" t="s">
        <v>274</v>
      </c>
      <c r="E221" s="185">
        <v>2</v>
      </c>
    </row>
    <row r="222" spans="1:6">
      <c r="D222" s="207" t="s">
        <v>275</v>
      </c>
      <c r="E222" s="195">
        <v>2</v>
      </c>
    </row>
    <row r="223" spans="1:6" ht="31">
      <c r="D223" s="207" t="s">
        <v>276</v>
      </c>
      <c r="E223" s="195">
        <f>25000/589.84</f>
        <v>42.38437542384375</v>
      </c>
      <c r="F223" s="195"/>
    </row>
    <row r="224" spans="1:6">
      <c r="D224" s="207" t="s">
        <v>166</v>
      </c>
      <c r="E224" s="191">
        <f>700/589.84</f>
        <v>1.186762511867625</v>
      </c>
      <c r="F224" s="196"/>
    </row>
    <row r="225" spans="4:7">
      <c r="D225" s="207" t="s">
        <v>277</v>
      </c>
      <c r="E225" s="191">
        <f>800/589.84</f>
        <v>1.3563000135630001</v>
      </c>
      <c r="F225" s="196"/>
    </row>
    <row r="226" spans="4:7">
      <c r="D226" s="207" t="s">
        <v>278</v>
      </c>
      <c r="E226" s="191">
        <f>500/589.84</f>
        <v>0.84768750847687502</v>
      </c>
    </row>
    <row r="227" spans="4:7" ht="29">
      <c r="D227" s="181" t="s">
        <v>279</v>
      </c>
      <c r="E227" s="219">
        <f>10000/589.84</f>
        <v>16.9537501695375</v>
      </c>
      <c r="F227" s="244"/>
    </row>
    <row r="228" spans="4:7" ht="29">
      <c r="D228" s="181" t="s">
        <v>280</v>
      </c>
      <c r="E228" s="290">
        <f>(E209+E211)*E212*E223</f>
        <v>5933.8125593381246</v>
      </c>
      <c r="F228" s="244"/>
    </row>
    <row r="229" spans="4:7" ht="29">
      <c r="D229" s="181" t="s">
        <v>281</v>
      </c>
      <c r="E229" s="290">
        <f>(E210*E213*E223)+(E227*2)</f>
        <v>796.82625796826244</v>
      </c>
      <c r="F229" s="272"/>
      <c r="G229" s="244"/>
    </row>
    <row r="230" spans="4:7" ht="29">
      <c r="D230" s="181" t="s">
        <v>282</v>
      </c>
      <c r="E230" s="290">
        <f>E224*E214</f>
        <v>2945.5445544554455</v>
      </c>
      <c r="F230" s="272"/>
      <c r="G230" s="272"/>
    </row>
    <row r="231" spans="4:7" ht="29">
      <c r="D231" s="181" t="s">
        <v>283</v>
      </c>
      <c r="E231" s="290">
        <f>E225*E215</f>
        <v>1356.3000135630002</v>
      </c>
      <c r="F231" s="272"/>
    </row>
    <row r="232" spans="4:7">
      <c r="D232" s="181" t="s">
        <v>225</v>
      </c>
      <c r="E232" s="290">
        <f>E226*E216</f>
        <v>15.258375152583751</v>
      </c>
      <c r="F232" s="244"/>
    </row>
    <row r="233" spans="4:7">
      <c r="D233" s="181" t="s">
        <v>226</v>
      </c>
      <c r="E233" s="290">
        <f>2250*E217/589.84</f>
        <v>7.6291875762918755</v>
      </c>
      <c r="F233" s="244"/>
    </row>
    <row r="234" spans="4:7">
      <c r="D234" s="181" t="s">
        <v>227</v>
      </c>
      <c r="E234" s="290">
        <f>3000*E218/589.84</f>
        <v>10.172250101722501</v>
      </c>
      <c r="F234" s="272"/>
    </row>
    <row r="235" spans="4:7">
      <c r="D235" s="181" t="s">
        <v>284</v>
      </c>
      <c r="E235" s="290">
        <f>6000*E219/589.84</f>
        <v>20.344500203445001</v>
      </c>
    </row>
    <row r="236" spans="4:7">
      <c r="D236" s="181" t="s">
        <v>285</v>
      </c>
      <c r="E236" s="290">
        <f>50000*E220/589.84</f>
        <v>169.537501695375</v>
      </c>
    </row>
    <row r="237" spans="4:7">
      <c r="D237" s="181" t="s">
        <v>286</v>
      </c>
      <c r="E237" s="290">
        <f>40000*E221/589.84</f>
        <v>135.6300013563</v>
      </c>
    </row>
    <row r="238" spans="4:7">
      <c r="D238" s="181" t="s">
        <v>287</v>
      </c>
      <c r="E238" s="290">
        <f>50000*E222/589.84</f>
        <v>169.537501695375</v>
      </c>
    </row>
    <row r="239" spans="4:7">
      <c r="D239" s="207"/>
      <c r="E239" s="198"/>
    </row>
    <row r="240" spans="4:7">
      <c r="D240" s="182" t="s">
        <v>288</v>
      </c>
      <c r="E240" s="178">
        <f>SUM(E227:E238)</f>
        <v>11577.546453275463</v>
      </c>
      <c r="F240" s="177"/>
    </row>
    <row r="242" spans="1:7">
      <c r="B242" s="194"/>
      <c r="C242" s="194"/>
      <c r="D242" s="194"/>
      <c r="E242" s="194"/>
      <c r="F242" s="194"/>
    </row>
    <row r="245" spans="1:7" s="205" customFormat="1" ht="14.5">
      <c r="B245" s="205" t="s">
        <v>96</v>
      </c>
      <c r="C245" s="205" t="s">
        <v>97</v>
      </c>
      <c r="D245" s="205" t="s">
        <v>98</v>
      </c>
      <c r="E245" s="205" t="s">
        <v>99</v>
      </c>
    </row>
    <row r="246" spans="1:7">
      <c r="E246" s="204"/>
    </row>
    <row r="247" spans="1:7" ht="42.75" customHeight="1">
      <c r="A247" s="185">
        <v>10</v>
      </c>
      <c r="B247" s="220" t="s">
        <v>289</v>
      </c>
      <c r="C247" s="570" t="s">
        <v>290</v>
      </c>
      <c r="D247" s="207" t="s">
        <v>141</v>
      </c>
      <c r="E247" s="204">
        <v>10</v>
      </c>
      <c r="G247" s="244"/>
    </row>
    <row r="248" spans="1:7" ht="31">
      <c r="C248" s="570"/>
      <c r="D248" s="207" t="s">
        <v>291</v>
      </c>
      <c r="E248" s="204">
        <v>2</v>
      </c>
      <c r="G248" s="244"/>
    </row>
    <row r="249" spans="1:7" ht="44.25" customHeight="1">
      <c r="C249" s="570"/>
      <c r="D249" s="207" t="s">
        <v>143</v>
      </c>
      <c r="E249" s="204">
        <v>8</v>
      </c>
      <c r="G249" s="244"/>
    </row>
    <row r="250" spans="1:7" ht="31">
      <c r="C250" s="570"/>
      <c r="D250" s="207" t="s">
        <v>292</v>
      </c>
      <c r="E250" s="204">
        <v>1</v>
      </c>
      <c r="G250" s="244"/>
    </row>
    <row r="251" spans="1:7" ht="31">
      <c r="D251" s="207" t="s">
        <v>145</v>
      </c>
      <c r="E251" s="204">
        <v>2</v>
      </c>
      <c r="G251" s="244"/>
    </row>
    <row r="252" spans="1:7" ht="31">
      <c r="D252" s="207" t="s">
        <v>293</v>
      </c>
      <c r="E252" s="204">
        <v>3</v>
      </c>
      <c r="G252" s="244"/>
    </row>
    <row r="253" spans="1:7" ht="31">
      <c r="D253" s="207" t="s">
        <v>147</v>
      </c>
      <c r="E253" s="204">
        <v>2</v>
      </c>
    </row>
    <row r="254" spans="1:7" ht="31">
      <c r="D254" s="207" t="s">
        <v>148</v>
      </c>
      <c r="E254" s="204">
        <v>5</v>
      </c>
      <c r="G254" s="244"/>
    </row>
    <row r="255" spans="1:7" ht="31">
      <c r="D255" s="207" t="s">
        <v>149</v>
      </c>
      <c r="E255" s="204">
        <v>4</v>
      </c>
      <c r="G255" s="244"/>
    </row>
    <row r="256" spans="1:7" ht="31">
      <c r="D256" s="207" t="s">
        <v>294</v>
      </c>
      <c r="E256" s="204">
        <v>5</v>
      </c>
      <c r="G256" s="272"/>
    </row>
    <row r="257" spans="4:7">
      <c r="D257" s="207" t="s">
        <v>295</v>
      </c>
      <c r="E257" s="204">
        <v>12</v>
      </c>
    </row>
    <row r="258" spans="4:7">
      <c r="D258" s="207" t="s">
        <v>152</v>
      </c>
      <c r="E258" s="204">
        <v>9</v>
      </c>
    </row>
    <row r="259" spans="4:7" ht="29.25" customHeight="1">
      <c r="D259" s="207" t="s">
        <v>153</v>
      </c>
      <c r="E259" s="204">
        <v>5</v>
      </c>
    </row>
    <row r="260" spans="4:7">
      <c r="D260" s="207" t="s">
        <v>296</v>
      </c>
      <c r="E260" s="204">
        <v>3</v>
      </c>
    </row>
    <row r="261" spans="4:7">
      <c r="D261" s="182" t="s">
        <v>156</v>
      </c>
      <c r="E261" s="291">
        <f>E247+E249+E251+E253+E254+E255+E256+E257+E258+E259+E260</f>
        <v>65</v>
      </c>
    </row>
    <row r="262" spans="4:7">
      <c r="D262" s="207" t="s">
        <v>157</v>
      </c>
      <c r="E262" s="292">
        <f>25000/589.84</f>
        <v>42.38437542384375</v>
      </c>
    </row>
    <row r="263" spans="4:7">
      <c r="D263" s="207" t="s">
        <v>158</v>
      </c>
      <c r="E263" s="293">
        <f>5000/589.84</f>
        <v>8.47687508476875</v>
      </c>
    </row>
    <row r="264" spans="4:7">
      <c r="D264" s="207" t="s">
        <v>159</v>
      </c>
      <c r="E264" s="293">
        <f>10000/589.84</f>
        <v>16.9537501695375</v>
      </c>
    </row>
    <row r="265" spans="4:7" ht="31">
      <c r="D265" s="221" t="s">
        <v>160</v>
      </c>
      <c r="E265" s="290">
        <f>25000/589.84</f>
        <v>42.38437542384375</v>
      </c>
    </row>
    <row r="266" spans="4:7" ht="25.5" customHeight="1">
      <c r="D266" s="207" t="s">
        <v>161</v>
      </c>
      <c r="E266" s="288">
        <v>0</v>
      </c>
    </row>
    <row r="267" spans="4:7">
      <c r="D267" s="207" t="s">
        <v>297</v>
      </c>
      <c r="E267" s="288">
        <f>5000/589.84</f>
        <v>8.47687508476875</v>
      </c>
    </row>
    <row r="268" spans="4:7">
      <c r="D268" s="207" t="s">
        <v>163</v>
      </c>
      <c r="E268" s="288">
        <f>3000/589.84</f>
        <v>5.0861250508612503</v>
      </c>
    </row>
    <row r="269" spans="4:7">
      <c r="D269" s="207" t="s">
        <v>164</v>
      </c>
      <c r="E269" s="288">
        <f>6500/589.84</f>
        <v>11.019937610199376</v>
      </c>
    </row>
    <row r="270" spans="4:7" ht="31">
      <c r="D270" s="207" t="s">
        <v>165</v>
      </c>
      <c r="E270" s="288">
        <f>(40+70+60+105+150+165+230+245+250)*2*0.2+10</f>
        <v>536</v>
      </c>
      <c r="G270" s="204"/>
    </row>
    <row r="271" spans="4:7">
      <c r="D271" s="207" t="s">
        <v>166</v>
      </c>
      <c r="E271" s="288">
        <f>700/589.84</f>
        <v>1.186762511867625</v>
      </c>
    </row>
    <row r="272" spans="4:7">
      <c r="D272" s="207" t="s">
        <v>133</v>
      </c>
      <c r="E272" s="288">
        <v>2</v>
      </c>
    </row>
    <row r="273" spans="1:7">
      <c r="D273" s="208" t="s">
        <v>171</v>
      </c>
      <c r="E273" s="290">
        <f>((E247+E254)*3+(E249+E255)*2+(E251*E252))*E265</f>
        <v>3178.8281567882814</v>
      </c>
      <c r="F273" s="244"/>
      <c r="G273" s="222"/>
    </row>
    <row r="274" spans="1:7">
      <c r="D274" s="207" t="s">
        <v>172</v>
      </c>
      <c r="E274" s="290">
        <f>(E253+E256+E257+E258)*E263*2</f>
        <v>474.70500474705</v>
      </c>
      <c r="F274" s="244"/>
    </row>
    <row r="275" spans="1:7">
      <c r="D275" s="207" t="s">
        <v>174</v>
      </c>
      <c r="E275" s="290">
        <f>E268*E260*2</f>
        <v>30.516750305167502</v>
      </c>
      <c r="F275" s="272"/>
    </row>
    <row r="276" spans="1:7">
      <c r="D276" s="185" t="s">
        <v>175</v>
      </c>
      <c r="E276" s="290">
        <f>E269*E272*E261</f>
        <v>1432.5918893259188</v>
      </c>
    </row>
    <row r="277" spans="1:7" ht="19.5" customHeight="1">
      <c r="D277" s="174" t="s">
        <v>177</v>
      </c>
      <c r="E277" s="290">
        <f>E270*E271</f>
        <v>636.10470636104708</v>
      </c>
      <c r="F277" s="244"/>
    </row>
    <row r="278" spans="1:7" ht="30" customHeight="1">
      <c r="D278" s="207" t="s">
        <v>178</v>
      </c>
      <c r="E278" s="290">
        <f>E264*E252</f>
        <v>50.8612505086125</v>
      </c>
      <c r="F278" s="244"/>
    </row>
    <row r="279" spans="1:7" ht="37.5" customHeight="1">
      <c r="D279" s="182" t="s">
        <v>298</v>
      </c>
      <c r="E279" s="173">
        <f>E273+E275+E276+E277+E278</f>
        <v>5328.9027532890268</v>
      </c>
      <c r="F279" s="177"/>
    </row>
    <row r="280" spans="1:7" ht="17.25" customHeight="1">
      <c r="D280" s="182"/>
      <c r="E280" s="174"/>
      <c r="F280" s="195"/>
    </row>
    <row r="281" spans="1:7" ht="18" customHeight="1">
      <c r="B281" s="194"/>
      <c r="C281" s="194"/>
      <c r="D281" s="223"/>
      <c r="E281" s="224"/>
      <c r="F281" s="224"/>
    </row>
    <row r="282" spans="1:7" ht="15" customHeight="1">
      <c r="D282" s="182"/>
      <c r="E282" s="174"/>
      <c r="F282" s="195"/>
    </row>
    <row r="283" spans="1:7" ht="12" customHeight="1"/>
    <row r="284" spans="1:7" s="210" customFormat="1">
      <c r="B284" s="205" t="s">
        <v>96</v>
      </c>
      <c r="C284" s="205" t="s">
        <v>97</v>
      </c>
      <c r="D284" s="205" t="s">
        <v>98</v>
      </c>
      <c r="E284" s="205" t="s">
        <v>99</v>
      </c>
    </row>
    <row r="285" spans="1:7" ht="77.5">
      <c r="A285" s="185">
        <v>11</v>
      </c>
      <c r="B285" s="207" t="s">
        <v>299</v>
      </c>
      <c r="C285" s="208" t="s">
        <v>300</v>
      </c>
      <c r="D285" s="208" t="s">
        <v>301</v>
      </c>
    </row>
    <row r="286" spans="1:7">
      <c r="C286" s="207"/>
      <c r="D286" s="207" t="s">
        <v>302</v>
      </c>
    </row>
    <row r="287" spans="1:7">
      <c r="D287" s="185" t="s">
        <v>303</v>
      </c>
      <c r="E287" s="185" t="s">
        <v>304</v>
      </c>
    </row>
    <row r="289" spans="1:6">
      <c r="D289" s="183" t="s">
        <v>179</v>
      </c>
      <c r="E289" s="225">
        <v>0</v>
      </c>
      <c r="F289" s="185" t="s">
        <v>305</v>
      </c>
    </row>
    <row r="290" spans="1:6">
      <c r="D290" s="183"/>
    </row>
    <row r="291" spans="1:6">
      <c r="B291" s="194"/>
      <c r="C291" s="194"/>
      <c r="D291" s="226"/>
      <c r="E291" s="194"/>
      <c r="F291" s="194"/>
    </row>
    <row r="292" spans="1:6">
      <c r="D292" s="183"/>
    </row>
    <row r="293" spans="1:6" ht="18" customHeight="1"/>
    <row r="294" spans="1:6">
      <c r="B294" s="205" t="s">
        <v>96</v>
      </c>
      <c r="C294" s="205" t="s">
        <v>97</v>
      </c>
      <c r="D294" s="205" t="s">
        <v>98</v>
      </c>
      <c r="E294" s="205" t="s">
        <v>99</v>
      </c>
    </row>
    <row r="295" spans="1:6">
      <c r="A295" s="185">
        <v>12</v>
      </c>
      <c r="B295" s="185" t="s">
        <v>306</v>
      </c>
      <c r="C295" s="208" t="s">
        <v>307</v>
      </c>
      <c r="D295" s="185" t="s">
        <v>308</v>
      </c>
      <c r="E295" s="185">
        <v>11</v>
      </c>
    </row>
    <row r="296" spans="1:6">
      <c r="C296" s="174" t="s">
        <v>309</v>
      </c>
      <c r="D296" s="185" t="s">
        <v>310</v>
      </c>
      <c r="E296" s="185">
        <v>22</v>
      </c>
    </row>
    <row r="297" spans="1:6">
      <c r="C297" s="174" t="s">
        <v>311</v>
      </c>
      <c r="D297" s="185" t="s">
        <v>312</v>
      </c>
      <c r="E297" s="185">
        <v>22</v>
      </c>
    </row>
    <row r="298" spans="1:6">
      <c r="C298" s="174" t="s">
        <v>313</v>
      </c>
      <c r="D298" s="185" t="s">
        <v>314</v>
      </c>
      <c r="E298" s="185">
        <v>183</v>
      </c>
    </row>
    <row r="299" spans="1:6">
      <c r="C299" s="174" t="s">
        <v>315</v>
      </c>
      <c r="D299" s="185" t="s">
        <v>316</v>
      </c>
      <c r="E299" s="185">
        <v>100</v>
      </c>
    </row>
    <row r="300" spans="1:6">
      <c r="D300" s="185" t="s">
        <v>317</v>
      </c>
      <c r="E300" s="185">
        <v>22</v>
      </c>
    </row>
    <row r="301" spans="1:6">
      <c r="D301" s="185" t="s">
        <v>318</v>
      </c>
      <c r="E301" s="198">
        <f>1000/589.84</f>
        <v>1.69537501695375</v>
      </c>
    </row>
    <row r="302" spans="1:6">
      <c r="D302" s="185" t="s">
        <v>319</v>
      </c>
      <c r="E302" s="198">
        <f>1000/589.84</f>
        <v>1.69537501695375</v>
      </c>
    </row>
    <row r="303" spans="1:6">
      <c r="D303" s="185" t="s">
        <v>320</v>
      </c>
      <c r="E303" s="198">
        <f>600/589.84</f>
        <v>1.01722501017225</v>
      </c>
    </row>
    <row r="304" spans="1:6">
      <c r="D304" s="185" t="s">
        <v>321</v>
      </c>
      <c r="E304" s="198">
        <f>300/589.84</f>
        <v>0.50861250508612499</v>
      </c>
    </row>
    <row r="305" spans="1:7">
      <c r="D305" s="185" t="s">
        <v>322</v>
      </c>
      <c r="E305" s="289">
        <f>100/589.84</f>
        <v>0.16953750169537501</v>
      </c>
    </row>
    <row r="306" spans="1:7">
      <c r="D306" s="185" t="s">
        <v>323</v>
      </c>
      <c r="E306" s="290">
        <f>E296*E301*E295</f>
        <v>410.28075410280752</v>
      </c>
    </row>
    <row r="307" spans="1:7">
      <c r="D307" s="185" t="s">
        <v>324</v>
      </c>
      <c r="E307" s="290">
        <f>E297*E302*E295</f>
        <v>410.28075410280752</v>
      </c>
    </row>
    <row r="308" spans="1:7">
      <c r="D308" s="185" t="s">
        <v>325</v>
      </c>
      <c r="E308" s="290">
        <f>E298*E295*E303</f>
        <v>2047.6739454767392</v>
      </c>
      <c r="F308" s="244"/>
      <c r="G308" s="272"/>
    </row>
    <row r="309" spans="1:7">
      <c r="D309" s="185" t="s">
        <v>326</v>
      </c>
      <c r="E309" s="197">
        <f>E304*E299*E295</f>
        <v>559.47375559473744</v>
      </c>
      <c r="F309" s="244"/>
      <c r="G309" s="272"/>
    </row>
    <row r="310" spans="1:7">
      <c r="D310" s="185" t="s">
        <v>327</v>
      </c>
      <c r="E310" s="197">
        <f>E305*E300*E295</f>
        <v>41.028075410280749</v>
      </c>
      <c r="F310" s="244"/>
    </row>
    <row r="311" spans="1:7">
      <c r="E311" s="198"/>
    </row>
    <row r="312" spans="1:7">
      <c r="D312" s="227" t="s">
        <v>328</v>
      </c>
      <c r="E312" s="173">
        <f>E306+E307+E308+E309+E310</f>
        <v>3468.7372846873727</v>
      </c>
      <c r="F312" s="244"/>
    </row>
    <row r="313" spans="1:7">
      <c r="D313" s="227"/>
      <c r="E313" s="177"/>
    </row>
    <row r="314" spans="1:7">
      <c r="B314" s="194"/>
      <c r="C314" s="194"/>
      <c r="D314" s="228"/>
      <c r="E314" s="229"/>
      <c r="F314" s="229"/>
    </row>
    <row r="316" spans="1:7" ht="18.75" customHeight="1"/>
    <row r="317" spans="1:7">
      <c r="B317" s="205" t="s">
        <v>96</v>
      </c>
      <c r="C317" s="205" t="s">
        <v>97</v>
      </c>
      <c r="D317" s="205" t="s">
        <v>98</v>
      </c>
      <c r="E317" s="205" t="s">
        <v>99</v>
      </c>
    </row>
    <row r="318" spans="1:7" ht="36.75" customHeight="1">
      <c r="A318" s="185">
        <v>13</v>
      </c>
      <c r="B318" s="570" t="s">
        <v>329</v>
      </c>
      <c r="C318" s="571" t="s">
        <v>330</v>
      </c>
      <c r="D318" s="572"/>
      <c r="E318" s="573" t="s">
        <v>331</v>
      </c>
    </row>
    <row r="319" spans="1:7" ht="16.5" customHeight="1">
      <c r="B319" s="570"/>
      <c r="C319" s="571"/>
      <c r="D319" s="572"/>
      <c r="E319" s="573"/>
    </row>
    <row r="320" spans="1:7" ht="9.75" customHeight="1">
      <c r="B320" s="570"/>
      <c r="C320" s="571"/>
      <c r="D320" s="572"/>
      <c r="E320" s="573"/>
    </row>
    <row r="321" spans="2:6" ht="24" customHeight="1">
      <c r="B321" s="570"/>
      <c r="C321" s="571"/>
      <c r="D321" s="572"/>
      <c r="E321" s="573"/>
    </row>
    <row r="322" spans="2:6" ht="4.5" customHeight="1">
      <c r="B322" s="570"/>
      <c r="C322" s="571"/>
      <c r="D322" s="572"/>
      <c r="E322" s="573"/>
    </row>
    <row r="323" spans="2:6" ht="60.75" customHeight="1">
      <c r="B323" s="570"/>
      <c r="C323" s="571"/>
      <c r="D323" s="209" t="s">
        <v>301</v>
      </c>
      <c r="E323" s="209">
        <v>890</v>
      </c>
    </row>
    <row r="324" spans="2:6" ht="15" customHeight="1">
      <c r="B324" s="570"/>
      <c r="C324" s="571"/>
      <c r="D324" s="209" t="s">
        <v>301</v>
      </c>
      <c r="E324" s="209">
        <v>700</v>
      </c>
    </row>
    <row r="325" spans="2:6">
      <c r="C325" s="571"/>
      <c r="D325" s="209" t="s">
        <v>332</v>
      </c>
      <c r="E325" s="209">
        <v>20</v>
      </c>
    </row>
    <row r="326" spans="2:6">
      <c r="C326" s="571"/>
      <c r="D326" s="209" t="s">
        <v>333</v>
      </c>
      <c r="E326" s="209">
        <v>5</v>
      </c>
    </row>
    <row r="327" spans="2:6">
      <c r="C327" s="571"/>
      <c r="D327" s="209" t="s">
        <v>334</v>
      </c>
      <c r="E327" s="209">
        <v>1</v>
      </c>
    </row>
    <row r="328" spans="2:6" ht="20.25" customHeight="1">
      <c r="C328" s="571"/>
      <c r="D328" s="209" t="s">
        <v>335</v>
      </c>
      <c r="E328" s="209">
        <v>1</v>
      </c>
    </row>
    <row r="329" spans="2:6" ht="21" customHeight="1">
      <c r="C329" s="571"/>
      <c r="D329" s="209" t="s">
        <v>301</v>
      </c>
      <c r="E329" s="209">
        <v>26</v>
      </c>
      <c r="F329" s="230"/>
    </row>
    <row r="330" spans="2:6" ht="18" customHeight="1">
      <c r="C330" s="571"/>
      <c r="D330" s="209" t="s">
        <v>301</v>
      </c>
      <c r="E330" s="209">
        <v>25</v>
      </c>
    </row>
    <row r="331" spans="2:6">
      <c r="C331" s="571"/>
      <c r="D331" s="209" t="s">
        <v>301</v>
      </c>
      <c r="E331" s="209">
        <v>45</v>
      </c>
    </row>
    <row r="332" spans="2:6">
      <c r="C332" s="571"/>
      <c r="D332" s="209" t="s">
        <v>301</v>
      </c>
      <c r="E332" s="209">
        <v>75</v>
      </c>
    </row>
    <row r="333" spans="2:6">
      <c r="C333" s="571"/>
      <c r="D333" s="209" t="s">
        <v>336</v>
      </c>
      <c r="E333" s="209">
        <v>1</v>
      </c>
    </row>
    <row r="334" spans="2:6">
      <c r="C334" s="571"/>
      <c r="D334" s="209" t="s">
        <v>337</v>
      </c>
      <c r="E334" s="209">
        <v>5</v>
      </c>
    </row>
    <row r="335" spans="2:6">
      <c r="C335" s="571"/>
      <c r="D335" s="209" t="s">
        <v>338</v>
      </c>
      <c r="E335" s="209">
        <v>1</v>
      </c>
    </row>
    <row r="336" spans="2:6" ht="11.25" customHeight="1">
      <c r="C336" s="571"/>
      <c r="D336" s="209" t="s">
        <v>339</v>
      </c>
      <c r="E336" s="209">
        <v>20</v>
      </c>
    </row>
    <row r="337" spans="3:7" ht="12.75" customHeight="1">
      <c r="C337" s="571"/>
      <c r="D337" s="209" t="s">
        <v>340</v>
      </c>
      <c r="E337" s="209">
        <v>20</v>
      </c>
    </row>
    <row r="338" spans="3:7">
      <c r="C338" s="571"/>
      <c r="D338" s="209" t="s">
        <v>341</v>
      </c>
      <c r="E338" s="209">
        <v>18</v>
      </c>
    </row>
    <row r="339" spans="3:7">
      <c r="C339" s="571"/>
      <c r="D339" s="209" t="s">
        <v>342</v>
      </c>
      <c r="E339" s="209">
        <v>10</v>
      </c>
    </row>
    <row r="340" spans="3:7" ht="34.5" customHeight="1">
      <c r="C340" s="571"/>
      <c r="D340" s="208" t="s">
        <v>343</v>
      </c>
      <c r="E340" s="209">
        <v>4</v>
      </c>
    </row>
    <row r="341" spans="3:7" ht="23.25" customHeight="1">
      <c r="C341" s="571"/>
      <c r="D341" s="179" t="s">
        <v>344</v>
      </c>
      <c r="E341" s="209">
        <v>4</v>
      </c>
    </row>
    <row r="342" spans="3:7" ht="19.5" customHeight="1">
      <c r="D342" s="179" t="s">
        <v>345</v>
      </c>
      <c r="E342" s="212">
        <f>1500/589.84</f>
        <v>2.5430625254306252</v>
      </c>
    </row>
    <row r="343" spans="3:7" ht="24" customHeight="1">
      <c r="D343" s="179" t="s">
        <v>346</v>
      </c>
      <c r="E343" s="212">
        <f>2000/589.84</f>
        <v>3.3907500339075001</v>
      </c>
    </row>
    <row r="344" spans="3:7" ht="34.5" customHeight="1">
      <c r="D344" s="179" t="s">
        <v>347</v>
      </c>
      <c r="E344" s="212">
        <v>0</v>
      </c>
    </row>
    <row r="345" spans="3:7" ht="34.5" customHeight="1">
      <c r="D345" s="179" t="s">
        <v>348</v>
      </c>
      <c r="E345" s="212">
        <f>4504/589.84</f>
        <v>7.6359690763596904</v>
      </c>
    </row>
    <row r="346" spans="3:7" ht="34.5" customHeight="1">
      <c r="D346" s="179" t="s">
        <v>349</v>
      </c>
      <c r="E346" s="212">
        <f>4504/589.84</f>
        <v>7.6359690763596904</v>
      </c>
    </row>
    <row r="347" spans="3:7" ht="22.5" customHeight="1">
      <c r="D347" s="179" t="s">
        <v>350</v>
      </c>
      <c r="E347" s="212">
        <f>4504/589.84</f>
        <v>7.6359690763596904</v>
      </c>
    </row>
    <row r="348" spans="3:7" ht="19.5" customHeight="1">
      <c r="D348" s="179" t="s">
        <v>351</v>
      </c>
      <c r="E348" s="212">
        <f>5000/589.84</f>
        <v>8.47687508476875</v>
      </c>
    </row>
    <row r="349" spans="3:7">
      <c r="D349" s="179" t="s">
        <v>352</v>
      </c>
      <c r="E349" s="212">
        <f>6500/589.84</f>
        <v>11.019937610199376</v>
      </c>
    </row>
    <row r="350" spans="3:7" ht="29">
      <c r="D350" s="179" t="s">
        <v>353</v>
      </c>
      <c r="E350" s="212">
        <f>1505/589.84</f>
        <v>2.5515394005153937</v>
      </c>
    </row>
    <row r="351" spans="3:7" ht="29">
      <c r="D351" s="179" t="s">
        <v>354</v>
      </c>
      <c r="E351" s="212">
        <f>1505/589.84</f>
        <v>2.5515394005153937</v>
      </c>
    </row>
    <row r="352" spans="3:7">
      <c r="D352" s="179" t="s">
        <v>355</v>
      </c>
      <c r="E352" s="231">
        <f>E342*E333*E323</f>
        <v>2263.3256476332563</v>
      </c>
      <c r="F352" s="185" t="e">
        <f>#REF!</f>
        <v>#REF!</v>
      </c>
      <c r="G352" s="244" t="e">
        <f t="shared" ref="G352:G361" si="3">F352/589.84</f>
        <v>#REF!</v>
      </c>
    </row>
    <row r="353" spans="2:7">
      <c r="D353" s="179" t="s">
        <v>356</v>
      </c>
      <c r="E353" s="231">
        <f>E343*E334*E324</f>
        <v>11867.625118676249</v>
      </c>
      <c r="F353" s="185" t="e">
        <f>#REF!</f>
        <v>#REF!</v>
      </c>
      <c r="G353" s="244" t="e">
        <f t="shared" si="3"/>
        <v>#REF!</v>
      </c>
    </row>
    <row r="354" spans="2:7">
      <c r="D354" s="180" t="s">
        <v>357</v>
      </c>
      <c r="E354" s="231">
        <f>E344*E335*E325</f>
        <v>0</v>
      </c>
      <c r="G354" s="244">
        <f t="shared" si="3"/>
        <v>0</v>
      </c>
    </row>
    <row r="355" spans="2:7">
      <c r="D355" s="180" t="s">
        <v>358</v>
      </c>
      <c r="E355" s="231">
        <f>E345*E336*E326</f>
        <v>763.59690763596905</v>
      </c>
      <c r="F355" s="185" t="e">
        <f>#REF!</f>
        <v>#REF!</v>
      </c>
      <c r="G355" s="244" t="e">
        <f t="shared" si="3"/>
        <v>#REF!</v>
      </c>
    </row>
    <row r="356" spans="2:7">
      <c r="D356" s="180" t="s">
        <v>359</v>
      </c>
      <c r="E356" s="231">
        <f>E346*E337*E327</f>
        <v>152.7193815271938</v>
      </c>
      <c r="F356" s="185" t="e">
        <f>#REF!</f>
        <v>#REF!</v>
      </c>
      <c r="G356" s="244" t="e">
        <f t="shared" si="3"/>
        <v>#REF!</v>
      </c>
    </row>
    <row r="357" spans="2:7">
      <c r="D357" s="180" t="s">
        <v>360</v>
      </c>
      <c r="E357" s="231">
        <f>E347*E339*E328</f>
        <v>76.359690763596902</v>
      </c>
      <c r="F357" s="185" t="e">
        <f>#REF!</f>
        <v>#REF!</v>
      </c>
      <c r="G357" s="244" t="e">
        <f t="shared" si="3"/>
        <v>#REF!</v>
      </c>
    </row>
    <row r="358" spans="2:7">
      <c r="D358" s="180" t="s">
        <v>361</v>
      </c>
      <c r="E358" s="231">
        <f>E348*E335*E325</f>
        <v>169.537501695375</v>
      </c>
      <c r="F358" s="185" t="e">
        <f>#REF!</f>
        <v>#REF!</v>
      </c>
      <c r="G358" s="244" t="e">
        <f t="shared" si="3"/>
        <v>#REF!</v>
      </c>
    </row>
    <row r="359" spans="2:7">
      <c r="D359" s="180" t="s">
        <v>362</v>
      </c>
      <c r="E359" s="231">
        <f>E349*E335*E330</f>
        <v>275.49844025498442</v>
      </c>
      <c r="F359" s="185" t="e">
        <f>#REF!</f>
        <v>#REF!</v>
      </c>
      <c r="G359" s="244" t="e">
        <f t="shared" si="3"/>
        <v>#REF!</v>
      </c>
    </row>
    <row r="360" spans="2:7" ht="29">
      <c r="D360" s="179" t="s">
        <v>363</v>
      </c>
      <c r="E360" s="231">
        <f>E350*E340*E331</f>
        <v>459.27709209277089</v>
      </c>
      <c r="F360" s="185" t="e">
        <f>#REF!</f>
        <v>#REF!</v>
      </c>
      <c r="G360" s="244" t="e">
        <f t="shared" si="3"/>
        <v>#REF!</v>
      </c>
    </row>
    <row r="361" spans="2:7" ht="29">
      <c r="D361" s="179" t="s">
        <v>364</v>
      </c>
      <c r="E361" s="231">
        <f>E351*E341*E332</f>
        <v>765.46182015461807</v>
      </c>
      <c r="F361" s="185" t="e">
        <f>#REF!</f>
        <v>#REF!</v>
      </c>
      <c r="G361" s="244" t="e">
        <f t="shared" si="3"/>
        <v>#REF!</v>
      </c>
    </row>
    <row r="362" spans="2:7">
      <c r="D362" s="208"/>
      <c r="E362" s="198"/>
      <c r="F362" s="183"/>
    </row>
    <row r="363" spans="2:7" ht="29">
      <c r="D363" s="214" t="s">
        <v>365</v>
      </c>
      <c r="E363" s="232">
        <f>E352+E353+E354+E355+E356+E357+E358+E359+E360+E361</f>
        <v>16793.401600434012</v>
      </c>
    </row>
    <row r="364" spans="2:7">
      <c r="D364" s="183"/>
      <c r="E364" s="233"/>
    </row>
    <row r="365" spans="2:7">
      <c r="B365" s="194"/>
      <c r="C365" s="194"/>
      <c r="D365" s="226"/>
      <c r="E365" s="234"/>
      <c r="F365" s="234"/>
    </row>
    <row r="366" spans="2:7" ht="20.25" customHeight="1">
      <c r="E366" s="235"/>
    </row>
    <row r="368" spans="2:7" ht="40.5" customHeight="1">
      <c r="B368" s="205" t="s">
        <v>96</v>
      </c>
      <c r="C368" s="205" t="s">
        <v>97</v>
      </c>
      <c r="D368" s="205" t="s">
        <v>98</v>
      </c>
      <c r="E368" s="236" t="s">
        <v>99</v>
      </c>
    </row>
    <row r="369" spans="1:7" ht="46.5">
      <c r="A369" s="185">
        <v>14</v>
      </c>
      <c r="B369" s="207" t="s">
        <v>366</v>
      </c>
      <c r="C369" s="207" t="s">
        <v>366</v>
      </c>
      <c r="D369" s="174" t="s">
        <v>367</v>
      </c>
    </row>
    <row r="372" spans="1:7" ht="29">
      <c r="D372" s="182" t="s">
        <v>368</v>
      </c>
      <c r="E372" s="173">
        <f>5000</f>
        <v>5000</v>
      </c>
      <c r="F372" s="244" t="e">
        <f>#REF!</f>
        <v>#REF!</v>
      </c>
      <c r="G372" s="185" t="e">
        <f>F372/589.84</f>
        <v>#REF!</v>
      </c>
    </row>
    <row r="373" spans="1:7">
      <c r="D373" s="183"/>
    </row>
    <row r="374" spans="1:7">
      <c r="B374" s="194"/>
      <c r="C374" s="194"/>
      <c r="D374" s="226"/>
      <c r="E374" s="194"/>
      <c r="F374" s="234"/>
    </row>
    <row r="376" spans="1:7" ht="35.5" customHeight="1">
      <c r="B376" s="205" t="s">
        <v>96</v>
      </c>
      <c r="C376" s="205" t="s">
        <v>97</v>
      </c>
      <c r="D376" s="205" t="s">
        <v>98</v>
      </c>
      <c r="E376" s="236" t="s">
        <v>99</v>
      </c>
    </row>
    <row r="377" spans="1:7" ht="69.75" customHeight="1">
      <c r="A377" s="185">
        <v>15</v>
      </c>
      <c r="B377" s="206" t="s">
        <v>369</v>
      </c>
      <c r="C377" s="571" t="s">
        <v>370</v>
      </c>
      <c r="D377" s="179" t="s">
        <v>371</v>
      </c>
      <c r="E377" s="180">
        <f>12+33+5+19+6+8+8+19+14+10+14</f>
        <v>148</v>
      </c>
    </row>
    <row r="378" spans="1:7" ht="32.25" customHeight="1">
      <c r="B378" s="206"/>
      <c r="C378" s="571"/>
      <c r="D378" s="179" t="s">
        <v>372</v>
      </c>
      <c r="E378" s="180">
        <v>10</v>
      </c>
    </row>
    <row r="379" spans="1:7" ht="29">
      <c r="C379" s="571"/>
      <c r="D379" s="181" t="s">
        <v>373</v>
      </c>
      <c r="E379" s="180">
        <v>10</v>
      </c>
    </row>
    <row r="380" spans="1:7" ht="12.75" customHeight="1">
      <c r="C380" s="571"/>
      <c r="D380" s="181" t="s">
        <v>374</v>
      </c>
      <c r="E380" s="180">
        <v>11</v>
      </c>
    </row>
    <row r="381" spans="1:7" ht="18" customHeight="1">
      <c r="C381" s="174"/>
      <c r="D381" s="181" t="s">
        <v>155</v>
      </c>
      <c r="E381" s="180">
        <v>11</v>
      </c>
    </row>
    <row r="382" spans="1:7" ht="20.25" customHeight="1">
      <c r="C382" s="174"/>
      <c r="D382" s="182" t="s">
        <v>156</v>
      </c>
      <c r="E382" s="183">
        <f>E377+E378+E380+E381</f>
        <v>180</v>
      </c>
    </row>
    <row r="383" spans="1:7">
      <c r="C383" s="174"/>
      <c r="D383" s="181" t="s">
        <v>157</v>
      </c>
      <c r="E383" s="176">
        <f>8000/589.84</f>
        <v>13.56300013563</v>
      </c>
    </row>
    <row r="384" spans="1:7">
      <c r="C384" s="174"/>
      <c r="D384" s="181" t="s">
        <v>205</v>
      </c>
      <c r="E384" s="176">
        <f>8000/589.84</f>
        <v>13.56300013563</v>
      </c>
    </row>
    <row r="385" spans="3:7">
      <c r="C385" s="174"/>
      <c r="D385" s="181" t="s">
        <v>158</v>
      </c>
      <c r="E385" s="176">
        <f>5000/589.84</f>
        <v>8.47687508476875</v>
      </c>
    </row>
    <row r="386" spans="3:7">
      <c r="C386" s="174"/>
      <c r="D386" s="181" t="s">
        <v>375</v>
      </c>
      <c r="E386" s="274">
        <f>4090/589.84</f>
        <v>6.9340838193408381</v>
      </c>
      <c r="F386" s="244"/>
    </row>
    <row r="387" spans="3:7" ht="29.25" customHeight="1">
      <c r="C387" s="174"/>
      <c r="D387" s="181" t="s">
        <v>376</v>
      </c>
      <c r="E387" s="184">
        <f>2300/589.84</f>
        <v>3.8993625389936253</v>
      </c>
    </row>
    <row r="388" spans="3:7" ht="20.25" customHeight="1">
      <c r="C388" s="174"/>
      <c r="D388" s="181" t="s">
        <v>377</v>
      </c>
      <c r="E388" s="287">
        <f>10000/589.84</f>
        <v>16.9537501695375</v>
      </c>
      <c r="F388" s="244"/>
    </row>
    <row r="389" spans="3:7" ht="18" customHeight="1">
      <c r="C389" s="174"/>
      <c r="D389" s="181" t="s">
        <v>163</v>
      </c>
      <c r="E389" s="184">
        <f>1500/589.84</f>
        <v>2.5430625254306252</v>
      </c>
    </row>
    <row r="390" spans="3:7" ht="18" customHeight="1">
      <c r="C390" s="174"/>
      <c r="D390" s="181" t="s">
        <v>164</v>
      </c>
      <c r="E390" s="184">
        <f>5000/589.84</f>
        <v>8.47687508476875</v>
      </c>
    </row>
    <row r="391" spans="3:7" ht="17.25" customHeight="1">
      <c r="C391" s="174"/>
      <c r="D391" s="181" t="s">
        <v>133</v>
      </c>
      <c r="E391" s="174">
        <v>1</v>
      </c>
      <c r="F391" s="185">
        <f>116/2</f>
        <v>58</v>
      </c>
    </row>
    <row r="392" spans="3:7" ht="34.5" customHeight="1">
      <c r="C392" s="174"/>
      <c r="D392" s="181" t="s">
        <v>378</v>
      </c>
      <c r="E392" s="213">
        <f>E388*4+E386*7</f>
        <v>116.35358741353586</v>
      </c>
      <c r="F392" s="244" t="e">
        <f>#REF!+#REF!</f>
        <v>#REF!</v>
      </c>
      <c r="G392" s="272" t="e">
        <f>F392/589.84</f>
        <v>#REF!</v>
      </c>
    </row>
    <row r="393" spans="3:7" ht="38.25" customHeight="1">
      <c r="C393" s="174"/>
      <c r="D393" s="181" t="s">
        <v>379</v>
      </c>
      <c r="E393" s="286">
        <f>E387*E377</f>
        <v>577.10565577105649</v>
      </c>
      <c r="F393" s="244" t="e">
        <f>#REF!/589.84</f>
        <v>#REF!</v>
      </c>
    </row>
    <row r="394" spans="3:7" ht="33" customHeight="1">
      <c r="C394" s="174"/>
      <c r="D394" s="181" t="s">
        <v>178</v>
      </c>
      <c r="E394" s="286">
        <f>E392*E379</f>
        <v>1163.5358741353587</v>
      </c>
      <c r="F394" s="244" t="e">
        <f>#REF!/589.84</f>
        <v>#REF!</v>
      </c>
    </row>
    <row r="395" spans="3:7" ht="21.75" customHeight="1">
      <c r="C395" s="174"/>
      <c r="D395" s="179" t="s">
        <v>380</v>
      </c>
      <c r="E395" s="286">
        <f>E384*E380*E391</f>
        <v>149.19300149193</v>
      </c>
      <c r="F395" s="244" t="e">
        <f>#REF!/589.84</f>
        <v>#REF!</v>
      </c>
    </row>
    <row r="396" spans="3:7">
      <c r="C396" s="174"/>
      <c r="D396" s="179" t="s">
        <v>381</v>
      </c>
      <c r="E396" s="286">
        <f>E391*E389*E381</f>
        <v>27.973687779736878</v>
      </c>
      <c r="F396" s="244" t="e">
        <f>#REF!/589.84</f>
        <v>#REF!</v>
      </c>
    </row>
    <row r="397" spans="3:7">
      <c r="C397" s="174"/>
      <c r="D397" s="179" t="s">
        <v>175</v>
      </c>
      <c r="E397" s="286">
        <f>E382*E391*E390</f>
        <v>1525.8375152583749</v>
      </c>
      <c r="F397" s="244" t="e">
        <f>#REF!/589.84</f>
        <v>#REF!</v>
      </c>
    </row>
    <row r="398" spans="3:7">
      <c r="E398" s="198"/>
    </row>
    <row r="399" spans="3:7" ht="29">
      <c r="D399" s="182" t="s">
        <v>368</v>
      </c>
      <c r="E399" s="237">
        <f>E392+E393+E394+E395+E396+E397</f>
        <v>3559.9993218499931</v>
      </c>
      <c r="F399" s="217"/>
    </row>
    <row r="401" spans="2:6">
      <c r="B401" s="194"/>
      <c r="C401" s="194"/>
      <c r="D401" s="194"/>
      <c r="E401" s="194"/>
      <c r="F401" s="194"/>
    </row>
    <row r="403" spans="2:6">
      <c r="D403" s="238" t="s">
        <v>382</v>
      </c>
      <c r="E403" s="239">
        <f xml:space="preserve"> E14+E31+E46+E56+E66+E112+E167+E203+E240+E279+E289+E312+E363+E372+E399</f>
        <v>100178.19860979248</v>
      </c>
      <c r="F403" s="240"/>
    </row>
    <row r="404" spans="2:6">
      <c r="D404" s="185" t="s">
        <v>383</v>
      </c>
      <c r="E404" s="241"/>
    </row>
    <row r="406" spans="2:6">
      <c r="B406" s="194"/>
      <c r="C406" s="194"/>
      <c r="D406" s="194"/>
      <c r="E406" s="194"/>
      <c r="F406" s="194"/>
    </row>
  </sheetData>
  <mergeCells count="23">
    <mergeCell ref="C377:C380"/>
    <mergeCell ref="B318:B324"/>
    <mergeCell ref="C318:C341"/>
    <mergeCell ref="D318:D322"/>
    <mergeCell ref="E318:E322"/>
    <mergeCell ref="C247:C250"/>
    <mergeCell ref="C209:C218"/>
    <mergeCell ref="C174:C179"/>
    <mergeCell ref="B72:B73"/>
    <mergeCell ref="C72:C74"/>
    <mergeCell ref="B118:B127"/>
    <mergeCell ref="C118:C127"/>
    <mergeCell ref="C39:C42"/>
    <mergeCell ref="C53:C54"/>
    <mergeCell ref="B62:B66"/>
    <mergeCell ref="C62:C66"/>
    <mergeCell ref="B7:E7"/>
    <mergeCell ref="B9:B14"/>
    <mergeCell ref="C9:C15"/>
    <mergeCell ref="B18:E18"/>
    <mergeCell ref="B21:B23"/>
    <mergeCell ref="C21:C32"/>
    <mergeCell ref="B24:B32"/>
  </mergeCells>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M11"/>
  <sheetViews>
    <sheetView zoomScale="120" zoomScaleNormal="120" workbookViewId="0">
      <selection activeCell="E12" sqref="E12"/>
    </sheetView>
  </sheetViews>
  <sheetFormatPr defaultColWidth="10" defaultRowHeight="15.5"/>
  <cols>
    <col min="1" max="1" width="68.83203125" style="307" customWidth="1"/>
    <col min="2" max="2" width="15.83203125" style="308" bestFit="1"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315">
        <f>F10</f>
        <v>31991296.000000004</v>
      </c>
      <c r="C5" s="295"/>
      <c r="D5" s="295"/>
      <c r="E5" s="295"/>
      <c r="F5" s="296"/>
      <c r="G5" s="246"/>
      <c r="H5" s="246"/>
      <c r="I5" s="246"/>
      <c r="J5" s="246"/>
      <c r="K5" s="246"/>
      <c r="L5" s="246"/>
      <c r="M5" s="246"/>
    </row>
    <row r="6" spans="1:13" s="245" customFormat="1">
      <c r="A6" s="519" t="s">
        <v>416</v>
      </c>
      <c r="B6" s="519"/>
      <c r="C6" s="519"/>
      <c r="D6" s="519"/>
      <c r="E6" s="520"/>
      <c r="F6" s="416"/>
      <c r="G6" s="520" t="s">
        <v>390</v>
      </c>
      <c r="H6" s="521"/>
      <c r="I6" s="521"/>
      <c r="J6" s="521"/>
      <c r="K6" s="521"/>
      <c r="L6" s="522"/>
      <c r="M6" s="247" t="s">
        <v>391</v>
      </c>
    </row>
    <row r="7" spans="1:13" ht="18">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c r="A8" s="302" t="s">
        <v>575</v>
      </c>
      <c r="B8" s="299"/>
      <c r="C8" s="300"/>
      <c r="D8" s="300"/>
      <c r="E8" s="303"/>
      <c r="F8" s="301"/>
      <c r="G8" s="247"/>
      <c r="H8" s="247"/>
      <c r="I8" s="247"/>
      <c r="J8" s="247"/>
      <c r="K8" s="247"/>
      <c r="L8" s="247"/>
      <c r="M8" s="247"/>
    </row>
    <row r="9" spans="1:13">
      <c r="A9" s="299" t="s">
        <v>404</v>
      </c>
      <c r="B9" s="299"/>
      <c r="C9" s="451">
        <v>32000</v>
      </c>
      <c r="D9" s="300">
        <v>1</v>
      </c>
      <c r="E9" s="304">
        <f>589.84*1.7-3</f>
        <v>999.72800000000007</v>
      </c>
      <c r="F9" s="304">
        <f>C9*D9*E9</f>
        <v>31991296.000000004</v>
      </c>
      <c r="G9" s="247"/>
      <c r="H9" s="247"/>
      <c r="I9" s="247"/>
      <c r="J9" s="247"/>
      <c r="K9" s="247"/>
      <c r="L9" s="247"/>
      <c r="M9" s="247"/>
    </row>
    <row r="10" spans="1:13">
      <c r="A10" s="523" t="s">
        <v>406</v>
      </c>
      <c r="B10" s="524"/>
      <c r="C10" s="524"/>
      <c r="D10" s="524"/>
      <c r="E10" s="525"/>
      <c r="F10" s="443">
        <f>SUM(F6:F9)</f>
        <v>31991296.000000004</v>
      </c>
      <c r="G10" s="247"/>
      <c r="H10" s="247"/>
      <c r="I10" s="247"/>
      <c r="J10" s="247"/>
      <c r="K10" s="247"/>
      <c r="L10" s="247"/>
      <c r="M10" s="247"/>
    </row>
    <row r="11" spans="1:13" s="385" customFormat="1" ht="20.5">
      <c r="A11" s="517" t="s">
        <v>564</v>
      </c>
      <c r="B11" s="517"/>
      <c r="C11" s="428"/>
      <c r="E11" s="462">
        <f>E9/590</f>
        <v>1.6944542372881357</v>
      </c>
    </row>
  </sheetData>
  <mergeCells count="5">
    <mergeCell ref="A1:L1"/>
    <mergeCell ref="A6:E6"/>
    <mergeCell ref="G6:L6"/>
    <mergeCell ref="A10:E10"/>
    <mergeCell ref="A11:B11"/>
  </mergeCells>
  <dataValidations count="1">
    <dataValidation type="custom" allowBlank="1" showInputMessage="1" showErrorMessage="1" prompt="Format texte libre" sqref="A9" xr:uid="{00000000-0002-0000-0200-000000000000}">
      <formula1>ISTEXT(A9:A466)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M32"/>
  <sheetViews>
    <sheetView zoomScaleNormal="100" workbookViewId="0">
      <pane xSplit="1" ySplit="7" topLeftCell="B8" activePane="bottomRight" state="frozen"/>
      <selection pane="topRight" activeCell="C1" sqref="C1"/>
      <selection pane="bottomLeft" activeCell="A10" sqref="A10"/>
      <selection pane="bottomRight" activeCell="C12" sqref="C12"/>
    </sheetView>
  </sheetViews>
  <sheetFormatPr defaultColWidth="10" defaultRowHeight="15.5"/>
  <cols>
    <col min="1" max="1" width="68.83203125" style="307" customWidth="1"/>
    <col min="2" max="2" width="15.83203125" style="308" bestFit="1"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297">
        <f>F18</f>
        <v>2450000</v>
      </c>
      <c r="C5" s="295"/>
      <c r="D5" s="295"/>
      <c r="E5" s="295"/>
      <c r="F5" s="296"/>
      <c r="G5" s="246"/>
      <c r="H5" s="246"/>
      <c r="I5" s="246"/>
      <c r="J5" s="246"/>
      <c r="K5" s="246"/>
      <c r="L5" s="246"/>
      <c r="M5" s="246"/>
    </row>
    <row r="6" spans="1:13" s="245" customFormat="1">
      <c r="A6" s="529" t="s">
        <v>416</v>
      </c>
      <c r="B6" s="529"/>
      <c r="C6" s="529"/>
      <c r="D6" s="529"/>
      <c r="E6" s="530"/>
      <c r="F6" s="298"/>
      <c r="G6" s="520" t="s">
        <v>390</v>
      </c>
      <c r="H6" s="521"/>
      <c r="I6" s="521"/>
      <c r="J6" s="521"/>
      <c r="K6" s="521"/>
      <c r="L6" s="522"/>
      <c r="M6" s="247" t="s">
        <v>391</v>
      </c>
    </row>
    <row r="7" spans="1:13" ht="18.5" thickBot="1">
      <c r="A7" s="397" t="s">
        <v>392</v>
      </c>
      <c r="B7" s="398" t="s">
        <v>393</v>
      </c>
      <c r="C7" s="399" t="s">
        <v>394</v>
      </c>
      <c r="D7" s="399" t="s">
        <v>395</v>
      </c>
      <c r="E7" s="399" t="s">
        <v>396</v>
      </c>
      <c r="F7" s="400" t="s">
        <v>397</v>
      </c>
      <c r="G7" s="247" t="s">
        <v>392</v>
      </c>
      <c r="H7" s="247" t="s">
        <v>398</v>
      </c>
      <c r="I7" s="247" t="s">
        <v>399</v>
      </c>
      <c r="J7" s="247" t="s">
        <v>400</v>
      </c>
      <c r="K7" s="247" t="s">
        <v>401</v>
      </c>
      <c r="L7" s="247" t="s">
        <v>402</v>
      </c>
      <c r="M7" s="247"/>
    </row>
    <row r="8" spans="1:13" s="391" customFormat="1" ht="18.5" thickBot="1">
      <c r="A8" s="406" t="s">
        <v>419</v>
      </c>
      <c r="B8" s="407"/>
      <c r="C8" s="408"/>
      <c r="D8" s="408"/>
      <c r="E8" s="409"/>
      <c r="F8" s="410"/>
      <c r="G8" s="396"/>
      <c r="H8" s="369"/>
      <c r="I8" s="369"/>
      <c r="J8" s="369"/>
      <c r="K8" s="369"/>
      <c r="L8" s="369"/>
      <c r="M8" s="369"/>
    </row>
    <row r="9" spans="1:13" ht="26">
      <c r="A9" s="401" t="s">
        <v>516</v>
      </c>
      <c r="B9" s="402"/>
      <c r="C9" s="403"/>
      <c r="D9" s="402"/>
      <c r="E9" s="404"/>
      <c r="F9" s="405"/>
      <c r="G9" s="247"/>
      <c r="H9" s="247"/>
      <c r="I9" s="247"/>
      <c r="J9" s="247"/>
      <c r="K9" s="247"/>
      <c r="L9" s="247"/>
      <c r="M9" s="247"/>
    </row>
    <row r="10" spans="1:13" ht="20.25" customHeight="1">
      <c r="A10" s="531" t="s">
        <v>612</v>
      </c>
      <c r="B10" s="532"/>
      <c r="C10" s="532"/>
      <c r="D10" s="532"/>
      <c r="E10" s="532"/>
      <c r="F10" s="533"/>
      <c r="G10" s="247"/>
      <c r="H10" s="247"/>
      <c r="I10" s="247"/>
      <c r="J10" s="247"/>
      <c r="K10" s="247"/>
      <c r="L10" s="247"/>
      <c r="M10" s="247"/>
    </row>
    <row r="11" spans="1:13">
      <c r="A11" s="299" t="s">
        <v>430</v>
      </c>
      <c r="B11" s="299"/>
      <c r="C11" s="299">
        <v>15</v>
      </c>
      <c r="D11" s="340">
        <v>5</v>
      </c>
      <c r="E11" s="304">
        <v>7500</v>
      </c>
      <c r="F11" s="301">
        <f t="shared" ref="F11:F14" si="0">C11*D11*E11</f>
        <v>562500</v>
      </c>
      <c r="G11" s="247"/>
      <c r="H11" s="247"/>
      <c r="I11" s="247"/>
      <c r="J11" s="247"/>
      <c r="K11" s="247"/>
      <c r="L11" s="247"/>
      <c r="M11" s="247"/>
    </row>
    <row r="12" spans="1:13">
      <c r="A12" s="299" t="s">
        <v>483</v>
      </c>
      <c r="B12" s="299"/>
      <c r="C12" s="299">
        <v>5</v>
      </c>
      <c r="D12" s="340">
        <v>5</v>
      </c>
      <c r="E12" s="304">
        <v>7500</v>
      </c>
      <c r="F12" s="301">
        <f t="shared" si="0"/>
        <v>187500</v>
      </c>
      <c r="G12" s="247"/>
      <c r="H12" s="247"/>
      <c r="I12" s="247"/>
      <c r="J12" s="247"/>
      <c r="K12" s="247"/>
      <c r="L12" s="247"/>
      <c r="M12" s="247"/>
    </row>
    <row r="13" spans="1:13">
      <c r="A13" s="299" t="s">
        <v>482</v>
      </c>
      <c r="B13" s="299"/>
      <c r="C13" s="299">
        <v>2</v>
      </c>
      <c r="D13" s="340">
        <v>5</v>
      </c>
      <c r="E13" s="304">
        <v>7500</v>
      </c>
      <c r="F13" s="301">
        <f t="shared" si="0"/>
        <v>75000</v>
      </c>
      <c r="G13" s="247"/>
      <c r="H13" s="247"/>
      <c r="I13" s="247"/>
      <c r="J13" s="247"/>
      <c r="K13" s="247"/>
      <c r="L13" s="247"/>
      <c r="M13" s="247"/>
    </row>
    <row r="14" spans="1:13">
      <c r="A14" s="299" t="s">
        <v>611</v>
      </c>
      <c r="B14" s="299"/>
      <c r="C14" s="299">
        <v>4</v>
      </c>
      <c r="D14" s="340">
        <v>5</v>
      </c>
      <c r="E14" s="304">
        <v>7500</v>
      </c>
      <c r="F14" s="301">
        <f t="shared" si="0"/>
        <v>150000</v>
      </c>
      <c r="G14" s="247"/>
      <c r="H14" s="247"/>
      <c r="I14" s="247"/>
      <c r="J14" s="247"/>
      <c r="K14" s="247"/>
      <c r="L14" s="247"/>
      <c r="M14" s="247"/>
    </row>
    <row r="15" spans="1:13">
      <c r="A15" s="411" t="s">
        <v>453</v>
      </c>
      <c r="B15" s="361"/>
      <c r="C15" s="361">
        <v>2</v>
      </c>
      <c r="D15" s="340">
        <v>5</v>
      </c>
      <c r="E15" s="304">
        <v>7500</v>
      </c>
      <c r="F15" s="301">
        <f t="shared" ref="F15" si="1">C15*D15*E15</f>
        <v>75000</v>
      </c>
      <c r="G15" s="247"/>
      <c r="H15" s="247"/>
      <c r="I15" s="247"/>
      <c r="J15" s="247"/>
      <c r="K15" s="247"/>
      <c r="L15" s="247"/>
      <c r="M15" s="247"/>
    </row>
    <row r="16" spans="1:13">
      <c r="A16" s="411" t="s">
        <v>407</v>
      </c>
      <c r="B16" s="302"/>
      <c r="C16" s="306">
        <f>SUM(C11:C15)</f>
        <v>28</v>
      </c>
      <c r="D16" s="340">
        <v>5</v>
      </c>
      <c r="E16" s="304">
        <v>10000</v>
      </c>
      <c r="F16" s="301">
        <f>C16*D16*E16</f>
        <v>1400000</v>
      </c>
      <c r="G16" s="247"/>
      <c r="H16" s="247"/>
      <c r="I16" s="247"/>
      <c r="J16" s="247"/>
      <c r="K16" s="247"/>
      <c r="L16" s="247"/>
      <c r="M16" s="247"/>
    </row>
    <row r="17" spans="1:13">
      <c r="A17" s="411" t="s">
        <v>613</v>
      </c>
      <c r="B17" s="456"/>
      <c r="C17" s="457">
        <v>5</v>
      </c>
      <c r="D17" s="412">
        <v>1</v>
      </c>
      <c r="E17" s="413">
        <v>10000</v>
      </c>
      <c r="F17" s="301">
        <f>C17*D17*E17</f>
        <v>50000</v>
      </c>
      <c r="G17" s="247"/>
      <c r="H17" s="247"/>
      <c r="I17" s="247"/>
      <c r="J17" s="247"/>
      <c r="K17" s="247"/>
      <c r="L17" s="247"/>
      <c r="M17" s="247"/>
    </row>
    <row r="18" spans="1:13">
      <c r="A18" s="526" t="s">
        <v>406</v>
      </c>
      <c r="B18" s="527"/>
      <c r="C18" s="527"/>
      <c r="D18" s="527"/>
      <c r="E18" s="528"/>
      <c r="F18" s="390">
        <f>SUM(F11:F16)</f>
        <v>2450000</v>
      </c>
      <c r="G18" s="247"/>
      <c r="H18" s="247"/>
      <c r="I18" s="247"/>
      <c r="J18" s="247"/>
      <c r="K18" s="247"/>
      <c r="L18" s="247"/>
      <c r="M18" s="247"/>
    </row>
    <row r="19" spans="1:13" s="385" customFormat="1" ht="20.5">
      <c r="A19" s="517" t="s">
        <v>564</v>
      </c>
      <c r="B19" s="517"/>
      <c r="C19" s="428"/>
    </row>
    <row r="20" spans="1:13" ht="26">
      <c r="B20" s="337"/>
      <c r="F20"/>
    </row>
    <row r="21" spans="1:13" ht="26">
      <c r="B21" s="337"/>
      <c r="F21"/>
    </row>
    <row r="22" spans="1:13" ht="26">
      <c r="B22" s="337"/>
      <c r="F22"/>
    </row>
    <row r="23" spans="1:13" ht="26">
      <c r="B23" s="337"/>
    </row>
    <row r="24" spans="1:13" ht="26">
      <c r="B24" s="337"/>
    </row>
    <row r="25" spans="1:13" ht="26">
      <c r="B25" s="337"/>
    </row>
    <row r="26" spans="1:13" ht="26">
      <c r="B26" s="337"/>
    </row>
    <row r="27" spans="1:13" ht="26">
      <c r="B27" s="337"/>
    </row>
    <row r="28" spans="1:13" ht="26">
      <c r="B28" s="337"/>
    </row>
    <row r="29" spans="1:13" ht="26">
      <c r="B29" s="337"/>
    </row>
    <row r="30" spans="1:13" ht="26">
      <c r="B30" s="337"/>
    </row>
    <row r="31" spans="1:13" ht="26">
      <c r="B31" s="337"/>
    </row>
    <row r="32" spans="1:13" ht="26">
      <c r="B32" s="338"/>
    </row>
  </sheetData>
  <mergeCells count="6">
    <mergeCell ref="A19:B19"/>
    <mergeCell ref="A18:E18"/>
    <mergeCell ref="A1:L1"/>
    <mergeCell ref="A6:E6"/>
    <mergeCell ref="G6:L6"/>
    <mergeCell ref="A10:F10"/>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M25"/>
  <sheetViews>
    <sheetView zoomScale="120" zoomScaleNormal="120" workbookViewId="0">
      <pane xSplit="1" ySplit="7" topLeftCell="B8" activePane="bottomRight" state="frozen"/>
      <selection pane="topRight" activeCell="C1" sqref="C1"/>
      <selection pane="bottomLeft" activeCell="A10" sqref="A10"/>
      <selection pane="bottomRight" activeCell="E11" sqref="E11"/>
    </sheetView>
  </sheetViews>
  <sheetFormatPr defaultColWidth="10" defaultRowHeight="15.5"/>
  <cols>
    <col min="1" max="1" width="35.83203125" style="307" customWidth="1"/>
    <col min="2" max="2" width="13" style="308"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297">
        <f>F17</f>
        <v>2964000</v>
      </c>
      <c r="C5" s="295"/>
      <c r="D5" s="295"/>
      <c r="E5" s="295"/>
      <c r="F5" s="296"/>
      <c r="G5" s="246"/>
      <c r="H5" s="246"/>
      <c r="I5" s="246"/>
      <c r="J5" s="246"/>
      <c r="K5" s="246"/>
      <c r="L5" s="246"/>
      <c r="M5" s="246"/>
    </row>
    <row r="6" spans="1:13" s="245" customFormat="1">
      <c r="A6" s="529" t="s">
        <v>416</v>
      </c>
      <c r="B6" s="529"/>
      <c r="C6" s="529"/>
      <c r="D6" s="529"/>
      <c r="E6" s="530"/>
      <c r="F6" s="298"/>
      <c r="G6" s="520" t="s">
        <v>390</v>
      </c>
      <c r="H6" s="521"/>
      <c r="I6" s="521"/>
      <c r="J6" s="521"/>
      <c r="K6" s="521"/>
      <c r="L6" s="522"/>
      <c r="M6" s="247" t="s">
        <v>391</v>
      </c>
    </row>
    <row r="7" spans="1:13" ht="18">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c r="A8" s="415" t="s">
        <v>418</v>
      </c>
      <c r="B8" s="247"/>
      <c r="C8" s="247"/>
      <c r="D8" s="247"/>
      <c r="E8" s="247"/>
      <c r="F8" s="247"/>
      <c r="G8" s="247"/>
      <c r="H8" s="247"/>
      <c r="I8" s="247"/>
      <c r="J8" s="247"/>
      <c r="K8" s="247"/>
      <c r="L8" s="247"/>
      <c r="M8" s="247"/>
    </row>
    <row r="9" spans="1:13">
      <c r="A9" s="302" t="s">
        <v>431</v>
      </c>
      <c r="B9" s="299"/>
      <c r="C9" s="300"/>
      <c r="D9" s="299"/>
      <c r="E9" s="304"/>
      <c r="F9" s="305"/>
      <c r="G9" s="247"/>
      <c r="H9" s="247"/>
      <c r="I9" s="247"/>
      <c r="J9" s="247"/>
      <c r="K9" s="247"/>
      <c r="L9" s="247"/>
      <c r="M9" s="247"/>
    </row>
    <row r="10" spans="1:13">
      <c r="A10" s="299" t="s">
        <v>561</v>
      </c>
      <c r="B10" s="299" t="s">
        <v>562</v>
      </c>
      <c r="C10" s="341">
        <f>23*30*2+140</f>
        <v>1520</v>
      </c>
      <c r="D10" s="299">
        <v>1</v>
      </c>
      <c r="E10" s="304">
        <v>800</v>
      </c>
      <c r="F10" s="304">
        <f>C10*D10*E10</f>
        <v>1216000</v>
      </c>
      <c r="G10" s="247"/>
      <c r="H10" s="247"/>
      <c r="I10" s="247"/>
      <c r="J10" s="247"/>
      <c r="K10" s="247"/>
      <c r="L10" s="247"/>
      <c r="M10" s="247"/>
    </row>
    <row r="11" spans="1:13">
      <c r="A11" s="299" t="s">
        <v>432</v>
      </c>
      <c r="B11" s="299"/>
      <c r="C11" s="341">
        <v>6</v>
      </c>
      <c r="D11" s="299">
        <v>1</v>
      </c>
      <c r="E11" s="304">
        <v>18000</v>
      </c>
      <c r="F11" s="304">
        <f t="shared" ref="F11:F16" si="0">C11*D11*E11</f>
        <v>108000</v>
      </c>
      <c r="G11" s="247"/>
      <c r="H11" s="247"/>
      <c r="I11" s="247"/>
      <c r="J11" s="247"/>
      <c r="K11" s="247"/>
      <c r="L11" s="247"/>
      <c r="M11" s="247"/>
    </row>
    <row r="12" spans="1:13">
      <c r="A12" s="299" t="s">
        <v>433</v>
      </c>
      <c r="B12" s="299"/>
      <c r="C12" s="341">
        <v>2</v>
      </c>
      <c r="D12" s="299">
        <v>1</v>
      </c>
      <c r="E12" s="304">
        <v>65000</v>
      </c>
      <c r="F12" s="304">
        <f t="shared" si="0"/>
        <v>130000</v>
      </c>
      <c r="G12" s="247"/>
      <c r="H12" s="247"/>
      <c r="I12" s="247"/>
      <c r="J12" s="247"/>
      <c r="K12" s="247"/>
      <c r="L12" s="247"/>
      <c r="M12" s="247"/>
    </row>
    <row r="13" spans="1:13">
      <c r="A13" s="299" t="s">
        <v>486</v>
      </c>
      <c r="B13" s="299"/>
      <c r="C13" s="341">
        <v>4</v>
      </c>
      <c r="D13" s="299">
        <v>2</v>
      </c>
      <c r="E13" s="304">
        <v>100000</v>
      </c>
      <c r="F13" s="304">
        <f t="shared" si="0"/>
        <v>800000</v>
      </c>
      <c r="G13" s="247"/>
      <c r="H13" s="247"/>
      <c r="I13" s="247"/>
      <c r="J13" s="247"/>
      <c r="K13" s="247"/>
      <c r="L13" s="247"/>
      <c r="M13" s="247"/>
    </row>
    <row r="14" spans="1:13">
      <c r="A14" s="299" t="s">
        <v>434</v>
      </c>
      <c r="B14" s="299"/>
      <c r="C14" s="341">
        <v>6</v>
      </c>
      <c r="D14" s="299">
        <v>1</v>
      </c>
      <c r="E14" s="304">
        <v>25000</v>
      </c>
      <c r="F14" s="304">
        <f t="shared" si="0"/>
        <v>150000</v>
      </c>
      <c r="G14" s="247"/>
      <c r="H14" s="247"/>
      <c r="I14" s="247"/>
      <c r="J14" s="247"/>
      <c r="K14" s="247"/>
      <c r="L14" s="247"/>
      <c r="M14" s="247"/>
    </row>
    <row r="15" spans="1:13">
      <c r="A15" s="299" t="s">
        <v>435</v>
      </c>
      <c r="B15" s="299"/>
      <c r="C15" s="341">
        <v>2</v>
      </c>
      <c r="D15" s="299">
        <v>1</v>
      </c>
      <c r="E15" s="304">
        <v>80000</v>
      </c>
      <c r="F15" s="304">
        <f t="shared" si="0"/>
        <v>160000</v>
      </c>
      <c r="G15" s="247"/>
      <c r="H15" s="247"/>
      <c r="I15" s="247"/>
      <c r="J15" s="247"/>
      <c r="K15" s="247"/>
      <c r="L15" s="247"/>
      <c r="M15" s="247"/>
    </row>
    <row r="16" spans="1:13">
      <c r="A16" s="411" t="s">
        <v>487</v>
      </c>
      <c r="B16" s="299"/>
      <c r="C16" s="414">
        <v>1</v>
      </c>
      <c r="D16" s="299">
        <v>2</v>
      </c>
      <c r="E16" s="413">
        <v>200000</v>
      </c>
      <c r="F16" s="304">
        <f t="shared" si="0"/>
        <v>400000</v>
      </c>
      <c r="G16" s="247"/>
      <c r="H16" s="247"/>
      <c r="I16" s="247"/>
      <c r="J16" s="247"/>
      <c r="K16" s="247"/>
      <c r="L16" s="247"/>
      <c r="M16" s="247"/>
    </row>
    <row r="17" spans="1:13">
      <c r="A17" s="534" t="s">
        <v>406</v>
      </c>
      <c r="B17" s="535"/>
      <c r="C17" s="535"/>
      <c r="D17" s="535"/>
      <c r="E17" s="536"/>
      <c r="F17" s="433">
        <f>SUM(F10:F16)</f>
        <v>2964000</v>
      </c>
      <c r="G17" s="247"/>
      <c r="H17" s="247"/>
      <c r="I17" s="247"/>
      <c r="J17" s="247"/>
      <c r="K17" s="247"/>
      <c r="L17" s="247"/>
      <c r="M17" s="247"/>
    </row>
    <row r="18" spans="1:13" s="385" customFormat="1" ht="20.5">
      <c r="A18" s="517" t="s">
        <v>564</v>
      </c>
      <c r="B18" s="517"/>
      <c r="C18" s="428"/>
    </row>
    <row r="19" spans="1:13" ht="26">
      <c r="B19" s="337"/>
    </row>
    <row r="20" spans="1:13" ht="26">
      <c r="B20" s="337"/>
    </row>
    <row r="21" spans="1:13" ht="26">
      <c r="B21" s="337"/>
    </row>
    <row r="22" spans="1:13" ht="26">
      <c r="B22" s="337"/>
    </row>
    <row r="23" spans="1:13" ht="26">
      <c r="B23" s="337"/>
    </row>
    <row r="24" spans="1:13" ht="26">
      <c r="B24" s="337"/>
    </row>
    <row r="25" spans="1:13" ht="26">
      <c r="B25" s="338"/>
    </row>
  </sheetData>
  <mergeCells count="5">
    <mergeCell ref="A1:L1"/>
    <mergeCell ref="A6:E6"/>
    <mergeCell ref="G6:L6"/>
    <mergeCell ref="A17:E17"/>
    <mergeCell ref="A18:B18"/>
  </mergeCells>
  <conditionalFormatting sqref="E18">
    <cfRule type="cellIs" dxfId="14" priority="3" stopIfTrue="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M29"/>
  <sheetViews>
    <sheetView zoomScale="110" zoomScaleNormal="110" workbookViewId="0">
      <pane xSplit="1" ySplit="7" topLeftCell="B8" activePane="bottomRight" state="frozen"/>
      <selection pane="topRight" activeCell="C1" sqref="C1"/>
      <selection pane="bottomLeft" activeCell="A10" sqref="A10"/>
      <selection pane="bottomRight" activeCell="A5" sqref="A5:XFD5"/>
    </sheetView>
  </sheetViews>
  <sheetFormatPr defaultColWidth="10" defaultRowHeight="15.5"/>
  <cols>
    <col min="1" max="1" width="52.75" style="307" customWidth="1"/>
    <col min="2" max="2" width="15.83203125" style="308" bestFit="1"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315">
        <f>F16</f>
        <v>18540000</v>
      </c>
      <c r="C5" s="295"/>
      <c r="D5" s="295"/>
      <c r="E5" s="295"/>
      <c r="F5" s="296"/>
      <c r="G5" s="246"/>
      <c r="H5" s="246"/>
      <c r="I5" s="246"/>
      <c r="J5" s="246"/>
      <c r="K5" s="246"/>
      <c r="L5" s="246"/>
      <c r="M5" s="246"/>
    </row>
    <row r="6" spans="1:13" s="245" customFormat="1">
      <c r="A6" s="519" t="s">
        <v>416</v>
      </c>
      <c r="B6" s="519"/>
      <c r="C6" s="519"/>
      <c r="D6" s="519"/>
      <c r="E6" s="520"/>
      <c r="F6" s="416"/>
      <c r="G6" s="520" t="s">
        <v>390</v>
      </c>
      <c r="H6" s="521"/>
      <c r="I6" s="521"/>
      <c r="J6" s="521"/>
      <c r="K6" s="521"/>
      <c r="L6" s="522"/>
      <c r="M6" s="247" t="s">
        <v>391</v>
      </c>
    </row>
    <row r="7" spans="1:13" ht="18">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8">
      <c r="A8" s="392" t="s">
        <v>417</v>
      </c>
      <c r="B8" s="247"/>
      <c r="C8" s="393"/>
      <c r="D8" s="393"/>
      <c r="E8" s="395"/>
      <c r="F8" s="394"/>
      <c r="G8" s="247"/>
      <c r="H8" s="247"/>
      <c r="I8" s="247"/>
      <c r="J8" s="247"/>
      <c r="K8" s="247"/>
      <c r="L8" s="247"/>
      <c r="M8" s="247"/>
    </row>
    <row r="9" spans="1:13">
      <c r="A9" s="302" t="s">
        <v>436</v>
      </c>
      <c r="B9" s="299"/>
      <c r="C9" s="300"/>
      <c r="D9" s="299"/>
      <c r="E9" s="304"/>
      <c r="F9" s="305"/>
      <c r="G9" s="247"/>
      <c r="H9" s="247"/>
      <c r="I9" s="247"/>
      <c r="J9" s="247"/>
      <c r="K9" s="247"/>
      <c r="L9" s="247"/>
      <c r="M9" s="247"/>
    </row>
    <row r="10" spans="1:13">
      <c r="A10" s="299" t="s">
        <v>463</v>
      </c>
      <c r="B10" s="299"/>
      <c r="C10" s="341">
        <f>(2*6)+8</f>
        <v>20</v>
      </c>
      <c r="D10" s="299">
        <v>1</v>
      </c>
      <c r="E10" s="304">
        <v>30000</v>
      </c>
      <c r="F10" s="304">
        <f>C10*D10*E10</f>
        <v>600000</v>
      </c>
      <c r="G10" s="247"/>
      <c r="H10" s="247"/>
      <c r="I10" s="247"/>
      <c r="J10" s="247"/>
      <c r="K10" s="247"/>
      <c r="L10" s="247"/>
      <c r="M10" s="247"/>
    </row>
    <row r="11" spans="1:13">
      <c r="A11" s="299" t="s">
        <v>602</v>
      </c>
      <c r="B11" s="299"/>
      <c r="C11" s="341">
        <v>300</v>
      </c>
      <c r="D11" s="299">
        <v>1</v>
      </c>
      <c r="E11" s="304">
        <v>4700</v>
      </c>
      <c r="F11" s="304">
        <f t="shared" ref="F11:F15" si="0">C11*D11*E11</f>
        <v>1410000</v>
      </c>
      <c r="G11" s="247"/>
      <c r="H11" s="247"/>
      <c r="I11" s="247"/>
      <c r="J11" s="247"/>
      <c r="K11" s="247"/>
      <c r="L11" s="247"/>
      <c r="M11" s="247"/>
    </row>
    <row r="12" spans="1:13">
      <c r="A12" s="299" t="s">
        <v>437</v>
      </c>
      <c r="B12" s="299"/>
      <c r="C12" s="341">
        <f>(200*7)+200</f>
        <v>1600</v>
      </c>
      <c r="D12" s="299">
        <v>1</v>
      </c>
      <c r="E12" s="304">
        <v>2500</v>
      </c>
      <c r="F12" s="304">
        <f t="shared" si="0"/>
        <v>4000000</v>
      </c>
      <c r="G12" s="247"/>
      <c r="H12" s="247"/>
      <c r="I12" s="247"/>
      <c r="J12" s="247"/>
      <c r="K12" s="247"/>
      <c r="L12" s="247"/>
      <c r="M12" s="247"/>
    </row>
    <row r="13" spans="1:13">
      <c r="A13" s="299" t="s">
        <v>464</v>
      </c>
      <c r="B13" s="299"/>
      <c r="C13" s="341">
        <f>(200*7)+200</f>
        <v>1600</v>
      </c>
      <c r="D13" s="299">
        <v>1</v>
      </c>
      <c r="E13" s="304">
        <v>1500</v>
      </c>
      <c r="F13" s="304">
        <f t="shared" si="0"/>
        <v>2400000</v>
      </c>
      <c r="G13" s="247"/>
      <c r="H13" s="247"/>
      <c r="I13" s="247"/>
      <c r="J13" s="247"/>
      <c r="K13" s="247"/>
      <c r="L13" s="247"/>
      <c r="M13" s="247"/>
    </row>
    <row r="14" spans="1:13">
      <c r="A14" s="299" t="s">
        <v>517</v>
      </c>
      <c r="B14" s="299"/>
      <c r="C14" s="450">
        <v>1690</v>
      </c>
      <c r="D14" s="369">
        <v>1</v>
      </c>
      <c r="E14" s="370">
        <v>5000</v>
      </c>
      <c r="F14" s="370">
        <f t="shared" ref="F14" si="1">C14*D14*E14</f>
        <v>8450000</v>
      </c>
      <c r="G14" s="247"/>
      <c r="H14" s="247"/>
      <c r="I14" s="247"/>
      <c r="J14" s="247"/>
      <c r="K14" s="247"/>
      <c r="L14" s="247"/>
      <c r="M14" s="247"/>
    </row>
    <row r="15" spans="1:13">
      <c r="A15" s="411" t="s">
        <v>488</v>
      </c>
      <c r="B15" s="361"/>
      <c r="C15" s="341">
        <v>14</v>
      </c>
      <c r="D15" s="299">
        <v>1</v>
      </c>
      <c r="E15" s="344">
        <v>120000</v>
      </c>
      <c r="F15" s="304">
        <f t="shared" si="0"/>
        <v>1680000</v>
      </c>
      <c r="G15" s="247"/>
      <c r="H15" s="247"/>
      <c r="I15" s="247"/>
      <c r="J15" s="247"/>
      <c r="K15" s="247"/>
      <c r="L15" s="247"/>
      <c r="M15" s="247"/>
    </row>
    <row r="16" spans="1:13">
      <c r="A16" s="534" t="s">
        <v>406</v>
      </c>
      <c r="B16" s="535"/>
      <c r="C16" s="535"/>
      <c r="D16" s="535"/>
      <c r="E16" s="536"/>
      <c r="F16" s="433">
        <f>SUM(F10:F15)</f>
        <v>18540000</v>
      </c>
      <c r="G16" s="247"/>
      <c r="H16" s="247"/>
      <c r="I16" s="247"/>
      <c r="J16" s="247"/>
      <c r="K16" s="247"/>
      <c r="L16" s="247"/>
      <c r="M16" s="247"/>
    </row>
    <row r="17" spans="1:7" s="385" customFormat="1" ht="20.5">
      <c r="A17" s="517" t="s">
        <v>564</v>
      </c>
      <c r="B17" s="517"/>
      <c r="C17" s="428"/>
    </row>
    <row r="18" spans="1:7">
      <c r="D18" s="309"/>
      <c r="F18"/>
    </row>
    <row r="19" spans="1:7">
      <c r="F19"/>
    </row>
    <row r="20" spans="1:7">
      <c r="B20" s="366"/>
      <c r="C20" s="367"/>
      <c r="D20" s="248"/>
      <c r="E20" s="248"/>
      <c r="F20" s="248"/>
    </row>
    <row r="21" spans="1:7">
      <c r="B21" s="366"/>
      <c r="C21" s="367"/>
      <c r="D21" s="248"/>
      <c r="E21" s="248"/>
      <c r="F21" s="248"/>
    </row>
    <row r="22" spans="1:7">
      <c r="B22" s="366"/>
      <c r="C22" s="367"/>
      <c r="D22" s="248"/>
      <c r="E22" s="248"/>
      <c r="F22" s="248"/>
    </row>
    <row r="23" spans="1:7">
      <c r="B23" s="368"/>
      <c r="C23" s="367"/>
      <c r="D23" s="248"/>
      <c r="E23" s="248"/>
      <c r="F23" s="248"/>
    </row>
    <row r="24" spans="1:7">
      <c r="B24" s="368"/>
      <c r="C24" s="367"/>
      <c r="D24" s="248"/>
      <c r="E24" s="248"/>
      <c r="F24" s="248"/>
    </row>
    <row r="25" spans="1:7">
      <c r="B25" s="368"/>
      <c r="C25" s="367"/>
      <c r="D25" s="248"/>
      <c r="E25" s="248"/>
      <c r="F25" s="248"/>
    </row>
    <row r="26" spans="1:7">
      <c r="B26" s="363"/>
      <c r="C26" s="363"/>
      <c r="D26" s="364"/>
      <c r="E26" s="365"/>
      <c r="F26" s="368"/>
      <c r="G26" s="367"/>
    </row>
    <row r="27" spans="1:7">
      <c r="B27" s="363"/>
      <c r="C27" s="363"/>
      <c r="D27" s="364"/>
      <c r="E27" s="365"/>
      <c r="F27" s="368"/>
      <c r="G27" s="367"/>
    </row>
    <row r="28" spans="1:7">
      <c r="B28" s="363"/>
      <c r="C28" s="363"/>
      <c r="D28" s="364"/>
      <c r="E28" s="365"/>
      <c r="F28" s="368"/>
      <c r="G28" s="367"/>
    </row>
    <row r="29" spans="1:7">
      <c r="B29" s="363"/>
      <c r="C29" s="363"/>
      <c r="D29" s="364"/>
      <c r="E29" s="365"/>
      <c r="F29" s="368"/>
      <c r="G29" s="367"/>
    </row>
  </sheetData>
  <mergeCells count="5">
    <mergeCell ref="A1:L1"/>
    <mergeCell ref="A6:E6"/>
    <mergeCell ref="G6:L6"/>
    <mergeCell ref="A16:E16"/>
    <mergeCell ref="A17:B17"/>
  </mergeCells>
  <conditionalFormatting sqref="E17">
    <cfRule type="cellIs" dxfId="13" priority="1" stopIfTrue="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M14"/>
  <sheetViews>
    <sheetView zoomScale="110" zoomScaleNormal="110" workbookViewId="0">
      <pane xSplit="1" ySplit="7" topLeftCell="B8" activePane="bottomRight" state="frozen"/>
      <selection pane="topRight" activeCell="C1" sqref="C1"/>
      <selection pane="bottomLeft" activeCell="A10" sqref="A10"/>
      <selection pane="bottomRight" activeCell="B14" sqref="B14"/>
    </sheetView>
  </sheetViews>
  <sheetFormatPr defaultColWidth="10" defaultRowHeight="15.5"/>
  <cols>
    <col min="1" max="1" width="68.83203125" style="307" customWidth="1"/>
    <col min="2" max="2" width="15.83203125" style="308" bestFit="1"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297">
        <f>F12</f>
        <v>2250000</v>
      </c>
      <c r="C5" s="295"/>
      <c r="D5" s="295"/>
      <c r="E5" s="295"/>
      <c r="F5" s="296"/>
      <c r="G5" s="246"/>
      <c r="H5" s="246"/>
      <c r="I5" s="246"/>
      <c r="J5" s="246"/>
      <c r="K5" s="246"/>
      <c r="L5" s="246"/>
      <c r="M5" s="246"/>
    </row>
    <row r="6" spans="1:13" s="245" customFormat="1">
      <c r="A6" s="529" t="s">
        <v>416</v>
      </c>
      <c r="B6" s="529"/>
      <c r="C6" s="529"/>
      <c r="D6" s="529"/>
      <c r="E6" s="530"/>
      <c r="F6" s="298"/>
      <c r="G6" s="520" t="s">
        <v>390</v>
      </c>
      <c r="H6" s="521"/>
      <c r="I6" s="521"/>
      <c r="J6" s="521"/>
      <c r="K6" s="521"/>
      <c r="L6" s="522"/>
      <c r="M6" s="247" t="s">
        <v>391</v>
      </c>
    </row>
    <row r="7" spans="1:13" ht="18">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8">
      <c r="A8" s="392" t="s">
        <v>420</v>
      </c>
      <c r="B8" s="247"/>
      <c r="C8" s="393"/>
      <c r="D8" s="393"/>
      <c r="E8" s="395"/>
      <c r="F8" s="394"/>
      <c r="G8" s="247"/>
      <c r="H8" s="247"/>
      <c r="I8" s="247"/>
      <c r="J8" s="247"/>
      <c r="K8" s="247"/>
      <c r="L8" s="247"/>
      <c r="M8" s="247"/>
    </row>
    <row r="9" spans="1:13" ht="18">
      <c r="A9" s="382" t="s">
        <v>81</v>
      </c>
      <c r="B9" s="299"/>
      <c r="C9" s="300"/>
      <c r="D9" s="299"/>
      <c r="E9" s="304"/>
      <c r="F9" s="305"/>
      <c r="G9" s="247"/>
      <c r="H9" s="247"/>
      <c r="I9" s="247"/>
      <c r="J9" s="247"/>
      <c r="K9" s="247"/>
      <c r="L9" s="247"/>
      <c r="M9" s="247"/>
    </row>
    <row r="10" spans="1:13">
      <c r="A10" s="299" t="s">
        <v>489</v>
      </c>
      <c r="B10" s="299"/>
      <c r="C10" s="452">
        <v>30</v>
      </c>
      <c r="D10" s="342">
        <v>5</v>
      </c>
      <c r="E10" s="343">
        <v>10000</v>
      </c>
      <c r="F10" s="343">
        <f>C10*D10*E10</f>
        <v>1500000</v>
      </c>
      <c r="G10" s="247"/>
      <c r="H10" s="247"/>
      <c r="I10" s="247"/>
      <c r="J10" s="247"/>
      <c r="K10" s="247"/>
      <c r="L10" s="247"/>
      <c r="M10" s="247"/>
    </row>
    <row r="11" spans="1:13">
      <c r="A11" s="411" t="s">
        <v>514</v>
      </c>
      <c r="B11" s="299"/>
      <c r="C11" s="452">
        <v>30</v>
      </c>
      <c r="D11" s="342">
        <v>5</v>
      </c>
      <c r="E11" s="425">
        <v>5000</v>
      </c>
      <c r="F11" s="343">
        <f>C11*D11*E11</f>
        <v>750000</v>
      </c>
      <c r="G11" s="247"/>
      <c r="H11" s="247"/>
      <c r="I11" s="247"/>
      <c r="J11" s="247"/>
      <c r="K11" s="247"/>
      <c r="L11" s="247"/>
      <c r="M11" s="247"/>
    </row>
    <row r="12" spans="1:13">
      <c r="A12" s="534" t="s">
        <v>406</v>
      </c>
      <c r="B12" s="535"/>
      <c r="C12" s="535"/>
      <c r="D12" s="535"/>
      <c r="E12" s="536"/>
      <c r="F12" s="434">
        <f>SUM(F10+F11)</f>
        <v>2250000</v>
      </c>
      <c r="G12" s="247"/>
      <c r="H12" s="247"/>
      <c r="I12" s="247"/>
      <c r="J12" s="247"/>
      <c r="K12" s="247"/>
      <c r="L12" s="247"/>
      <c r="M12" s="247"/>
    </row>
    <row r="13" spans="1:13" s="385" customFormat="1" ht="20.5">
      <c r="A13" s="517" t="s">
        <v>564</v>
      </c>
      <c r="B13" s="517"/>
      <c r="C13" s="428"/>
    </row>
    <row r="14" spans="1:13">
      <c r="E14" s="310">
        <f>75000/579</f>
        <v>129.53367875647669</v>
      </c>
    </row>
  </sheetData>
  <mergeCells count="5">
    <mergeCell ref="A1:L1"/>
    <mergeCell ref="A6:E6"/>
    <mergeCell ref="G6:L6"/>
    <mergeCell ref="A12:E12"/>
    <mergeCell ref="A13:B13"/>
  </mergeCells>
  <conditionalFormatting sqref="E13">
    <cfRule type="cellIs" dxfId="12" priority="1" stopIfTrue="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sheetPr>
  <dimension ref="A1:M17"/>
  <sheetViews>
    <sheetView zoomScale="110" zoomScaleNormal="110" workbookViewId="0">
      <pane xSplit="1" ySplit="7" topLeftCell="B11" activePane="bottomRight" state="frozen"/>
      <selection pane="topRight" activeCell="C1" sqref="C1"/>
      <selection pane="bottomLeft" activeCell="A10" sqref="A10"/>
      <selection pane="bottomRight" activeCell="A5" sqref="A5:XFD5"/>
    </sheetView>
  </sheetViews>
  <sheetFormatPr defaultColWidth="10" defaultRowHeight="15.5"/>
  <cols>
    <col min="1" max="1" width="68.83203125" style="307" customWidth="1"/>
    <col min="2" max="2" width="15.83203125" style="308" customWidth="1"/>
    <col min="3" max="3" width="8.08203125" style="308" customWidth="1"/>
    <col min="4" max="4" width="9.25" style="307" customWidth="1"/>
    <col min="5" max="5" width="11.33203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442">
        <f>F15</f>
        <v>885000</v>
      </c>
      <c r="C5" s="295"/>
      <c r="D5" s="295"/>
      <c r="E5" s="295"/>
      <c r="F5" s="296"/>
      <c r="G5" s="246"/>
      <c r="H5" s="246"/>
      <c r="I5" s="246"/>
      <c r="J5" s="246"/>
      <c r="K5" s="246"/>
      <c r="L5" s="246"/>
      <c r="M5" s="246"/>
    </row>
    <row r="6" spans="1:13" s="245" customFormat="1">
      <c r="A6" s="519" t="s">
        <v>416</v>
      </c>
      <c r="B6" s="519"/>
      <c r="C6" s="519"/>
      <c r="D6" s="519"/>
      <c r="E6" s="520"/>
      <c r="F6" s="416"/>
      <c r="G6" s="520" t="s">
        <v>390</v>
      </c>
      <c r="H6" s="521"/>
      <c r="I6" s="521"/>
      <c r="J6" s="521"/>
      <c r="K6" s="521"/>
      <c r="L6" s="522"/>
      <c r="M6" s="247" t="s">
        <v>391</v>
      </c>
    </row>
    <row r="7" spans="1:13" ht="18">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8">
      <c r="A8" s="392" t="s">
        <v>421</v>
      </c>
      <c r="B8" s="247"/>
      <c r="C8" s="393"/>
      <c r="D8" s="393"/>
      <c r="E8" s="395"/>
      <c r="F8" s="394"/>
      <c r="G8" s="247"/>
      <c r="H8" s="247"/>
      <c r="I8" s="247"/>
      <c r="J8" s="247"/>
      <c r="K8" s="247"/>
      <c r="L8" s="247"/>
      <c r="M8" s="247"/>
    </row>
    <row r="9" spans="1:13" ht="21" customHeight="1">
      <c r="A9" s="302" t="s">
        <v>520</v>
      </c>
      <c r="B9" s="299"/>
      <c r="C9" s="300"/>
      <c r="D9" s="299"/>
      <c r="E9" s="304"/>
      <c r="F9" s="305"/>
      <c r="G9" s="247"/>
      <c r="H9" s="247"/>
      <c r="I9" s="247"/>
      <c r="J9" s="247"/>
      <c r="K9" s="247"/>
      <c r="L9" s="247"/>
      <c r="M9" s="247"/>
    </row>
    <row r="10" spans="1:13" ht="21" customHeight="1">
      <c r="A10" s="299" t="s">
        <v>518</v>
      </c>
      <c r="B10" s="299"/>
      <c r="C10" s="300">
        <v>10</v>
      </c>
      <c r="D10" s="299">
        <v>3</v>
      </c>
      <c r="E10" s="304">
        <v>7500</v>
      </c>
      <c r="F10" s="304">
        <f t="shared" ref="F10:F14" si="0">C10*D10*E10</f>
        <v>225000</v>
      </c>
      <c r="G10" s="247"/>
      <c r="H10" s="247"/>
      <c r="I10" s="247"/>
      <c r="J10" s="247"/>
      <c r="K10" s="247"/>
      <c r="L10" s="247"/>
      <c r="M10" s="247"/>
    </row>
    <row r="11" spans="1:13" ht="21" customHeight="1">
      <c r="A11" s="299" t="s">
        <v>490</v>
      </c>
      <c r="B11" s="299"/>
      <c r="C11" s="300">
        <v>2</v>
      </c>
      <c r="D11" s="299">
        <v>3</v>
      </c>
      <c r="E11" s="304">
        <v>7500</v>
      </c>
      <c r="F11" s="304">
        <f t="shared" ref="F11:F13" si="1">C11*D11*E11</f>
        <v>45000</v>
      </c>
      <c r="G11" s="247"/>
      <c r="H11" s="247"/>
      <c r="I11" s="247"/>
      <c r="J11" s="247"/>
      <c r="K11" s="247"/>
      <c r="L11" s="247"/>
      <c r="M11" s="247"/>
    </row>
    <row r="12" spans="1:13" ht="21" customHeight="1">
      <c r="A12" s="299" t="s">
        <v>522</v>
      </c>
      <c r="B12" s="299"/>
      <c r="C12" s="300">
        <v>2</v>
      </c>
      <c r="D12" s="299">
        <v>3</v>
      </c>
      <c r="E12" s="304">
        <v>7500</v>
      </c>
      <c r="F12" s="304">
        <f t="shared" si="1"/>
        <v>45000</v>
      </c>
      <c r="G12" s="247"/>
      <c r="H12" s="247"/>
      <c r="I12" s="247"/>
      <c r="J12" s="247"/>
      <c r="K12" s="247"/>
      <c r="L12" s="247"/>
      <c r="M12" s="247"/>
    </row>
    <row r="13" spans="1:13" ht="21" customHeight="1">
      <c r="A13" s="299" t="s">
        <v>521</v>
      </c>
      <c r="B13" s="299"/>
      <c r="C13" s="300">
        <v>5</v>
      </c>
      <c r="D13" s="299">
        <v>3</v>
      </c>
      <c r="E13" s="304">
        <v>0</v>
      </c>
      <c r="F13" s="304">
        <f t="shared" si="1"/>
        <v>0</v>
      </c>
      <c r="G13" s="247"/>
      <c r="H13" s="247"/>
      <c r="I13" s="247"/>
      <c r="J13" s="247"/>
      <c r="K13" s="247"/>
      <c r="L13" s="247"/>
      <c r="M13" s="247"/>
    </row>
    <row r="14" spans="1:13" ht="21" customHeight="1">
      <c r="A14" s="302" t="s">
        <v>519</v>
      </c>
      <c r="B14" s="302"/>
      <c r="C14" s="306">
        <f>SUM(C10:C13)</f>
        <v>19</v>
      </c>
      <c r="D14" s="299">
        <v>3</v>
      </c>
      <c r="E14" s="304">
        <v>10000</v>
      </c>
      <c r="F14" s="304">
        <f t="shared" si="0"/>
        <v>570000</v>
      </c>
      <c r="G14" s="247"/>
      <c r="H14" s="247"/>
      <c r="I14" s="247"/>
      <c r="J14" s="247"/>
      <c r="K14" s="247"/>
      <c r="L14" s="247"/>
      <c r="M14" s="247"/>
    </row>
    <row r="15" spans="1:13" ht="21" customHeight="1">
      <c r="A15" s="537" t="s">
        <v>406</v>
      </c>
      <c r="B15" s="538"/>
      <c r="C15" s="538"/>
      <c r="D15" s="538"/>
      <c r="E15" s="539"/>
      <c r="F15" s="433">
        <f>SUM(F10:F14)</f>
        <v>885000</v>
      </c>
      <c r="G15" s="247"/>
      <c r="H15" s="247"/>
      <c r="I15" s="247"/>
      <c r="J15" s="247"/>
      <c r="K15" s="247"/>
      <c r="L15" s="247"/>
      <c r="M15" s="247"/>
    </row>
    <row r="16" spans="1:13" s="385" customFormat="1" ht="20.5">
      <c r="A16" s="517" t="s">
        <v>564</v>
      </c>
      <c r="B16" s="517"/>
      <c r="C16" s="428"/>
    </row>
    <row r="17" spans="4:6">
      <c r="D17" s="309"/>
      <c r="F17" s="311"/>
    </row>
  </sheetData>
  <mergeCells count="5">
    <mergeCell ref="A1:L1"/>
    <mergeCell ref="A6:E6"/>
    <mergeCell ref="G6:L6"/>
    <mergeCell ref="A15:E15"/>
    <mergeCell ref="A16:B16"/>
  </mergeCells>
  <conditionalFormatting sqref="E16">
    <cfRule type="cellIs" dxfId="11" priority="1" stopIfTrue="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M18"/>
  <sheetViews>
    <sheetView zoomScale="110" zoomScaleNormal="110" workbookViewId="0">
      <pane xSplit="1" ySplit="7" topLeftCell="B8" activePane="bottomRight" state="frozen"/>
      <selection pane="topRight" activeCell="C1" sqref="C1"/>
      <selection pane="bottomLeft" activeCell="A10" sqref="A10"/>
      <selection pane="bottomRight" activeCell="F14" sqref="F14"/>
    </sheetView>
  </sheetViews>
  <sheetFormatPr defaultColWidth="10" defaultRowHeight="15.5"/>
  <cols>
    <col min="1" max="1" width="68.83203125" style="307" customWidth="1"/>
    <col min="2" max="2" width="15.83203125" style="308" bestFit="1" customWidth="1"/>
    <col min="3" max="3" width="8.08203125" style="308" customWidth="1"/>
    <col min="4" max="4" width="11.58203125" style="307" customWidth="1"/>
    <col min="5" max="5" width="12.5" style="310" customWidth="1"/>
    <col min="6" max="6" width="16.08203125" style="312" customWidth="1"/>
    <col min="7" max="7" width="12.58203125" style="248" bestFit="1" customWidth="1"/>
    <col min="8" max="256" width="10" style="248"/>
    <col min="257" max="257" width="35.83203125" style="248" customWidth="1"/>
    <col min="258" max="258" width="12" style="248" bestFit="1" customWidth="1"/>
    <col min="259" max="259" width="8.08203125" style="248" customWidth="1"/>
    <col min="260" max="260" width="11.58203125" style="248" customWidth="1"/>
    <col min="261" max="261" width="12.5" style="248" customWidth="1"/>
    <col min="262" max="262" width="12.75" style="248" bestFit="1" customWidth="1"/>
    <col min="263" max="512" width="10" style="248"/>
    <col min="513" max="513" width="35.83203125" style="248" customWidth="1"/>
    <col min="514" max="514" width="12" style="248" bestFit="1" customWidth="1"/>
    <col min="515" max="515" width="8.08203125" style="248" customWidth="1"/>
    <col min="516" max="516" width="11.58203125" style="248" customWidth="1"/>
    <col min="517" max="517" width="12.5" style="248" customWidth="1"/>
    <col min="518" max="518" width="12.75" style="248" bestFit="1" customWidth="1"/>
    <col min="519" max="768" width="10" style="248"/>
    <col min="769" max="769" width="35.83203125" style="248" customWidth="1"/>
    <col min="770" max="770" width="12" style="248" bestFit="1" customWidth="1"/>
    <col min="771" max="771" width="8.08203125" style="248" customWidth="1"/>
    <col min="772" max="772" width="11.58203125" style="248" customWidth="1"/>
    <col min="773" max="773" width="12.5" style="248" customWidth="1"/>
    <col min="774" max="774" width="12.75" style="248" bestFit="1" customWidth="1"/>
    <col min="775" max="1024" width="10" style="248"/>
    <col min="1025" max="1025" width="35.83203125" style="248" customWidth="1"/>
    <col min="1026" max="1026" width="12" style="248" bestFit="1" customWidth="1"/>
    <col min="1027" max="1027" width="8.08203125" style="248" customWidth="1"/>
    <col min="1028" max="1028" width="11.58203125" style="248" customWidth="1"/>
    <col min="1029" max="1029" width="12.5" style="248" customWidth="1"/>
    <col min="1030" max="1030" width="12.75" style="248" bestFit="1" customWidth="1"/>
    <col min="1031" max="1280" width="10" style="248"/>
    <col min="1281" max="1281" width="35.83203125" style="248" customWidth="1"/>
    <col min="1282" max="1282" width="12" style="248" bestFit="1" customWidth="1"/>
    <col min="1283" max="1283" width="8.08203125" style="248" customWidth="1"/>
    <col min="1284" max="1284" width="11.58203125" style="248" customWidth="1"/>
    <col min="1285" max="1285" width="12.5" style="248" customWidth="1"/>
    <col min="1286" max="1286" width="12.75" style="248" bestFit="1" customWidth="1"/>
    <col min="1287" max="1536" width="10" style="248"/>
    <col min="1537" max="1537" width="35.83203125" style="248" customWidth="1"/>
    <col min="1538" max="1538" width="12" style="248" bestFit="1" customWidth="1"/>
    <col min="1539" max="1539" width="8.08203125" style="248" customWidth="1"/>
    <col min="1540" max="1540" width="11.58203125" style="248" customWidth="1"/>
    <col min="1541" max="1541" width="12.5" style="248" customWidth="1"/>
    <col min="1542" max="1542" width="12.75" style="248" bestFit="1" customWidth="1"/>
    <col min="1543" max="1792" width="10" style="248"/>
    <col min="1793" max="1793" width="35.83203125" style="248" customWidth="1"/>
    <col min="1794" max="1794" width="12" style="248" bestFit="1" customWidth="1"/>
    <col min="1795" max="1795" width="8.08203125" style="248" customWidth="1"/>
    <col min="1796" max="1796" width="11.58203125" style="248" customWidth="1"/>
    <col min="1797" max="1797" width="12.5" style="248" customWidth="1"/>
    <col min="1798" max="1798" width="12.75" style="248" bestFit="1" customWidth="1"/>
    <col min="1799" max="2048" width="10" style="248"/>
    <col min="2049" max="2049" width="35.83203125" style="248" customWidth="1"/>
    <col min="2050" max="2050" width="12" style="248" bestFit="1" customWidth="1"/>
    <col min="2051" max="2051" width="8.08203125" style="248" customWidth="1"/>
    <col min="2052" max="2052" width="11.58203125" style="248" customWidth="1"/>
    <col min="2053" max="2053" width="12.5" style="248" customWidth="1"/>
    <col min="2054" max="2054" width="12.75" style="248" bestFit="1" customWidth="1"/>
    <col min="2055" max="2304" width="10" style="248"/>
    <col min="2305" max="2305" width="35.83203125" style="248" customWidth="1"/>
    <col min="2306" max="2306" width="12" style="248" bestFit="1" customWidth="1"/>
    <col min="2307" max="2307" width="8.08203125" style="248" customWidth="1"/>
    <col min="2308" max="2308" width="11.58203125" style="248" customWidth="1"/>
    <col min="2309" max="2309" width="12.5" style="248" customWidth="1"/>
    <col min="2310" max="2310" width="12.75" style="248" bestFit="1" customWidth="1"/>
    <col min="2311" max="2560" width="10" style="248"/>
    <col min="2561" max="2561" width="35.83203125" style="248" customWidth="1"/>
    <col min="2562" max="2562" width="12" style="248" bestFit="1" customWidth="1"/>
    <col min="2563" max="2563" width="8.08203125" style="248" customWidth="1"/>
    <col min="2564" max="2564" width="11.58203125" style="248" customWidth="1"/>
    <col min="2565" max="2565" width="12.5" style="248" customWidth="1"/>
    <col min="2566" max="2566" width="12.75" style="248" bestFit="1" customWidth="1"/>
    <col min="2567" max="2816" width="10" style="248"/>
    <col min="2817" max="2817" width="35.83203125" style="248" customWidth="1"/>
    <col min="2818" max="2818" width="12" style="248" bestFit="1" customWidth="1"/>
    <col min="2819" max="2819" width="8.08203125" style="248" customWidth="1"/>
    <col min="2820" max="2820" width="11.58203125" style="248" customWidth="1"/>
    <col min="2821" max="2821" width="12.5" style="248" customWidth="1"/>
    <col min="2822" max="2822" width="12.75" style="248" bestFit="1" customWidth="1"/>
    <col min="2823" max="3072" width="10" style="248"/>
    <col min="3073" max="3073" width="35.83203125" style="248" customWidth="1"/>
    <col min="3074" max="3074" width="12" style="248" bestFit="1" customWidth="1"/>
    <col min="3075" max="3075" width="8.08203125" style="248" customWidth="1"/>
    <col min="3076" max="3076" width="11.58203125" style="248" customWidth="1"/>
    <col min="3077" max="3077" width="12.5" style="248" customWidth="1"/>
    <col min="3078" max="3078" width="12.75" style="248" bestFit="1" customWidth="1"/>
    <col min="3079" max="3328" width="10" style="248"/>
    <col min="3329" max="3329" width="35.83203125" style="248" customWidth="1"/>
    <col min="3330" max="3330" width="12" style="248" bestFit="1" customWidth="1"/>
    <col min="3331" max="3331" width="8.08203125" style="248" customWidth="1"/>
    <col min="3332" max="3332" width="11.58203125" style="248" customWidth="1"/>
    <col min="3333" max="3333" width="12.5" style="248" customWidth="1"/>
    <col min="3334" max="3334" width="12.75" style="248" bestFit="1" customWidth="1"/>
    <col min="3335" max="3584" width="10" style="248"/>
    <col min="3585" max="3585" width="35.83203125" style="248" customWidth="1"/>
    <col min="3586" max="3586" width="12" style="248" bestFit="1" customWidth="1"/>
    <col min="3587" max="3587" width="8.08203125" style="248" customWidth="1"/>
    <col min="3588" max="3588" width="11.58203125" style="248" customWidth="1"/>
    <col min="3589" max="3589" width="12.5" style="248" customWidth="1"/>
    <col min="3590" max="3590" width="12.75" style="248" bestFit="1" customWidth="1"/>
    <col min="3591" max="3840" width="10" style="248"/>
    <col min="3841" max="3841" width="35.83203125" style="248" customWidth="1"/>
    <col min="3842" max="3842" width="12" style="248" bestFit="1" customWidth="1"/>
    <col min="3843" max="3843" width="8.08203125" style="248" customWidth="1"/>
    <col min="3844" max="3844" width="11.58203125" style="248" customWidth="1"/>
    <col min="3845" max="3845" width="12.5" style="248" customWidth="1"/>
    <col min="3846" max="3846" width="12.75" style="248" bestFit="1" customWidth="1"/>
    <col min="3847" max="4096" width="10" style="248"/>
    <col min="4097" max="4097" width="35.83203125" style="248" customWidth="1"/>
    <col min="4098" max="4098" width="12" style="248" bestFit="1" customWidth="1"/>
    <col min="4099" max="4099" width="8.08203125" style="248" customWidth="1"/>
    <col min="4100" max="4100" width="11.58203125" style="248" customWidth="1"/>
    <col min="4101" max="4101" width="12.5" style="248" customWidth="1"/>
    <col min="4102" max="4102" width="12.75" style="248" bestFit="1" customWidth="1"/>
    <col min="4103" max="4352" width="10" style="248"/>
    <col min="4353" max="4353" width="35.83203125" style="248" customWidth="1"/>
    <col min="4354" max="4354" width="12" style="248" bestFit="1" customWidth="1"/>
    <col min="4355" max="4355" width="8.08203125" style="248" customWidth="1"/>
    <col min="4356" max="4356" width="11.58203125" style="248" customWidth="1"/>
    <col min="4357" max="4357" width="12.5" style="248" customWidth="1"/>
    <col min="4358" max="4358" width="12.75" style="248" bestFit="1" customWidth="1"/>
    <col min="4359" max="4608" width="10" style="248"/>
    <col min="4609" max="4609" width="35.83203125" style="248" customWidth="1"/>
    <col min="4610" max="4610" width="12" style="248" bestFit="1" customWidth="1"/>
    <col min="4611" max="4611" width="8.08203125" style="248" customWidth="1"/>
    <col min="4612" max="4612" width="11.58203125" style="248" customWidth="1"/>
    <col min="4613" max="4613" width="12.5" style="248" customWidth="1"/>
    <col min="4614" max="4614" width="12.75" style="248" bestFit="1" customWidth="1"/>
    <col min="4615" max="4864" width="10" style="248"/>
    <col min="4865" max="4865" width="35.83203125" style="248" customWidth="1"/>
    <col min="4866" max="4866" width="12" style="248" bestFit="1" customWidth="1"/>
    <col min="4867" max="4867" width="8.08203125" style="248" customWidth="1"/>
    <col min="4868" max="4868" width="11.58203125" style="248" customWidth="1"/>
    <col min="4869" max="4869" width="12.5" style="248" customWidth="1"/>
    <col min="4870" max="4870" width="12.75" style="248" bestFit="1" customWidth="1"/>
    <col min="4871" max="5120" width="10" style="248"/>
    <col min="5121" max="5121" width="35.83203125" style="248" customWidth="1"/>
    <col min="5122" max="5122" width="12" style="248" bestFit="1" customWidth="1"/>
    <col min="5123" max="5123" width="8.08203125" style="248" customWidth="1"/>
    <col min="5124" max="5124" width="11.58203125" style="248" customWidth="1"/>
    <col min="5125" max="5125" width="12.5" style="248" customWidth="1"/>
    <col min="5126" max="5126" width="12.75" style="248" bestFit="1" customWidth="1"/>
    <col min="5127" max="5376" width="10" style="248"/>
    <col min="5377" max="5377" width="35.83203125" style="248" customWidth="1"/>
    <col min="5378" max="5378" width="12" style="248" bestFit="1" customWidth="1"/>
    <col min="5379" max="5379" width="8.08203125" style="248" customWidth="1"/>
    <col min="5380" max="5380" width="11.58203125" style="248" customWidth="1"/>
    <col min="5381" max="5381" width="12.5" style="248" customWidth="1"/>
    <col min="5382" max="5382" width="12.75" style="248" bestFit="1" customWidth="1"/>
    <col min="5383" max="5632" width="10" style="248"/>
    <col min="5633" max="5633" width="35.83203125" style="248" customWidth="1"/>
    <col min="5634" max="5634" width="12" style="248" bestFit="1" customWidth="1"/>
    <col min="5635" max="5635" width="8.08203125" style="248" customWidth="1"/>
    <col min="5636" max="5636" width="11.58203125" style="248" customWidth="1"/>
    <col min="5637" max="5637" width="12.5" style="248" customWidth="1"/>
    <col min="5638" max="5638" width="12.75" style="248" bestFit="1" customWidth="1"/>
    <col min="5639" max="5888" width="10" style="248"/>
    <col min="5889" max="5889" width="35.83203125" style="248" customWidth="1"/>
    <col min="5890" max="5890" width="12" style="248" bestFit="1" customWidth="1"/>
    <col min="5891" max="5891" width="8.08203125" style="248" customWidth="1"/>
    <col min="5892" max="5892" width="11.58203125" style="248" customWidth="1"/>
    <col min="5893" max="5893" width="12.5" style="248" customWidth="1"/>
    <col min="5894" max="5894" width="12.75" style="248" bestFit="1" customWidth="1"/>
    <col min="5895" max="6144" width="10" style="248"/>
    <col min="6145" max="6145" width="35.83203125" style="248" customWidth="1"/>
    <col min="6146" max="6146" width="12" style="248" bestFit="1" customWidth="1"/>
    <col min="6147" max="6147" width="8.08203125" style="248" customWidth="1"/>
    <col min="6148" max="6148" width="11.58203125" style="248" customWidth="1"/>
    <col min="6149" max="6149" width="12.5" style="248" customWidth="1"/>
    <col min="6150" max="6150" width="12.75" style="248" bestFit="1" customWidth="1"/>
    <col min="6151" max="6400" width="10" style="248"/>
    <col min="6401" max="6401" width="35.83203125" style="248" customWidth="1"/>
    <col min="6402" max="6402" width="12" style="248" bestFit="1" customWidth="1"/>
    <col min="6403" max="6403" width="8.08203125" style="248" customWidth="1"/>
    <col min="6404" max="6404" width="11.58203125" style="248" customWidth="1"/>
    <col min="6405" max="6405" width="12.5" style="248" customWidth="1"/>
    <col min="6406" max="6406" width="12.75" style="248" bestFit="1" customWidth="1"/>
    <col min="6407" max="6656" width="10" style="248"/>
    <col min="6657" max="6657" width="35.83203125" style="248" customWidth="1"/>
    <col min="6658" max="6658" width="12" style="248" bestFit="1" customWidth="1"/>
    <col min="6659" max="6659" width="8.08203125" style="248" customWidth="1"/>
    <col min="6660" max="6660" width="11.58203125" style="248" customWidth="1"/>
    <col min="6661" max="6661" width="12.5" style="248" customWidth="1"/>
    <col min="6662" max="6662" width="12.75" style="248" bestFit="1" customWidth="1"/>
    <col min="6663" max="6912" width="10" style="248"/>
    <col min="6913" max="6913" width="35.83203125" style="248" customWidth="1"/>
    <col min="6914" max="6914" width="12" style="248" bestFit="1" customWidth="1"/>
    <col min="6915" max="6915" width="8.08203125" style="248" customWidth="1"/>
    <col min="6916" max="6916" width="11.58203125" style="248" customWidth="1"/>
    <col min="6917" max="6917" width="12.5" style="248" customWidth="1"/>
    <col min="6918" max="6918" width="12.75" style="248" bestFit="1" customWidth="1"/>
    <col min="6919" max="7168" width="10" style="248"/>
    <col min="7169" max="7169" width="35.83203125" style="248" customWidth="1"/>
    <col min="7170" max="7170" width="12" style="248" bestFit="1" customWidth="1"/>
    <col min="7171" max="7171" width="8.08203125" style="248" customWidth="1"/>
    <col min="7172" max="7172" width="11.58203125" style="248" customWidth="1"/>
    <col min="7173" max="7173" width="12.5" style="248" customWidth="1"/>
    <col min="7174" max="7174" width="12.75" style="248" bestFit="1" customWidth="1"/>
    <col min="7175" max="7424" width="10" style="248"/>
    <col min="7425" max="7425" width="35.83203125" style="248" customWidth="1"/>
    <col min="7426" max="7426" width="12" style="248" bestFit="1" customWidth="1"/>
    <col min="7427" max="7427" width="8.08203125" style="248" customWidth="1"/>
    <col min="7428" max="7428" width="11.58203125" style="248" customWidth="1"/>
    <col min="7429" max="7429" width="12.5" style="248" customWidth="1"/>
    <col min="7430" max="7430" width="12.75" style="248" bestFit="1" customWidth="1"/>
    <col min="7431" max="7680" width="10" style="248"/>
    <col min="7681" max="7681" width="35.83203125" style="248" customWidth="1"/>
    <col min="7682" max="7682" width="12" style="248" bestFit="1" customWidth="1"/>
    <col min="7683" max="7683" width="8.08203125" style="248" customWidth="1"/>
    <col min="7684" max="7684" width="11.58203125" style="248" customWidth="1"/>
    <col min="7685" max="7685" width="12.5" style="248" customWidth="1"/>
    <col min="7686" max="7686" width="12.75" style="248" bestFit="1" customWidth="1"/>
    <col min="7687" max="7936" width="10" style="248"/>
    <col min="7937" max="7937" width="35.83203125" style="248" customWidth="1"/>
    <col min="7938" max="7938" width="12" style="248" bestFit="1" customWidth="1"/>
    <col min="7939" max="7939" width="8.08203125" style="248" customWidth="1"/>
    <col min="7940" max="7940" width="11.58203125" style="248" customWidth="1"/>
    <col min="7941" max="7941" width="12.5" style="248" customWidth="1"/>
    <col min="7942" max="7942" width="12.75" style="248" bestFit="1" customWidth="1"/>
    <col min="7943" max="8192" width="10" style="248"/>
    <col min="8193" max="8193" width="35.83203125" style="248" customWidth="1"/>
    <col min="8194" max="8194" width="12" style="248" bestFit="1" customWidth="1"/>
    <col min="8195" max="8195" width="8.08203125" style="248" customWidth="1"/>
    <col min="8196" max="8196" width="11.58203125" style="248" customWidth="1"/>
    <col min="8197" max="8197" width="12.5" style="248" customWidth="1"/>
    <col min="8198" max="8198" width="12.75" style="248" bestFit="1" customWidth="1"/>
    <col min="8199" max="8448" width="10" style="248"/>
    <col min="8449" max="8449" width="35.83203125" style="248" customWidth="1"/>
    <col min="8450" max="8450" width="12" style="248" bestFit="1" customWidth="1"/>
    <col min="8451" max="8451" width="8.08203125" style="248" customWidth="1"/>
    <col min="8452" max="8452" width="11.58203125" style="248" customWidth="1"/>
    <col min="8453" max="8453" width="12.5" style="248" customWidth="1"/>
    <col min="8454" max="8454" width="12.75" style="248" bestFit="1" customWidth="1"/>
    <col min="8455" max="8704" width="10" style="248"/>
    <col min="8705" max="8705" width="35.83203125" style="248" customWidth="1"/>
    <col min="8706" max="8706" width="12" style="248" bestFit="1" customWidth="1"/>
    <col min="8707" max="8707" width="8.08203125" style="248" customWidth="1"/>
    <col min="8708" max="8708" width="11.58203125" style="248" customWidth="1"/>
    <col min="8709" max="8709" width="12.5" style="248" customWidth="1"/>
    <col min="8710" max="8710" width="12.75" style="248" bestFit="1" customWidth="1"/>
    <col min="8711" max="8960" width="10" style="248"/>
    <col min="8961" max="8961" width="35.83203125" style="248" customWidth="1"/>
    <col min="8962" max="8962" width="12" style="248" bestFit="1" customWidth="1"/>
    <col min="8963" max="8963" width="8.08203125" style="248" customWidth="1"/>
    <col min="8964" max="8964" width="11.58203125" style="248" customWidth="1"/>
    <col min="8965" max="8965" width="12.5" style="248" customWidth="1"/>
    <col min="8966" max="8966" width="12.75" style="248" bestFit="1" customWidth="1"/>
    <col min="8967" max="9216" width="10" style="248"/>
    <col min="9217" max="9217" width="35.83203125" style="248" customWidth="1"/>
    <col min="9218" max="9218" width="12" style="248" bestFit="1" customWidth="1"/>
    <col min="9219" max="9219" width="8.08203125" style="248" customWidth="1"/>
    <col min="9220" max="9220" width="11.58203125" style="248" customWidth="1"/>
    <col min="9221" max="9221" width="12.5" style="248" customWidth="1"/>
    <col min="9222" max="9222" width="12.75" style="248" bestFit="1" customWidth="1"/>
    <col min="9223" max="9472" width="10" style="248"/>
    <col min="9473" max="9473" width="35.83203125" style="248" customWidth="1"/>
    <col min="9474" max="9474" width="12" style="248" bestFit="1" customWidth="1"/>
    <col min="9475" max="9475" width="8.08203125" style="248" customWidth="1"/>
    <col min="9476" max="9476" width="11.58203125" style="248" customWidth="1"/>
    <col min="9477" max="9477" width="12.5" style="248" customWidth="1"/>
    <col min="9478" max="9478" width="12.75" style="248" bestFit="1" customWidth="1"/>
    <col min="9479" max="9728" width="10" style="248"/>
    <col min="9729" max="9729" width="35.83203125" style="248" customWidth="1"/>
    <col min="9730" max="9730" width="12" style="248" bestFit="1" customWidth="1"/>
    <col min="9731" max="9731" width="8.08203125" style="248" customWidth="1"/>
    <col min="9732" max="9732" width="11.58203125" style="248" customWidth="1"/>
    <col min="9733" max="9733" width="12.5" style="248" customWidth="1"/>
    <col min="9734" max="9734" width="12.75" style="248" bestFit="1" customWidth="1"/>
    <col min="9735" max="9984" width="10" style="248"/>
    <col min="9985" max="9985" width="35.83203125" style="248" customWidth="1"/>
    <col min="9986" max="9986" width="12" style="248" bestFit="1" customWidth="1"/>
    <col min="9987" max="9987" width="8.08203125" style="248" customWidth="1"/>
    <col min="9988" max="9988" width="11.58203125" style="248" customWidth="1"/>
    <col min="9989" max="9989" width="12.5" style="248" customWidth="1"/>
    <col min="9990" max="9990" width="12.75" style="248" bestFit="1" customWidth="1"/>
    <col min="9991" max="10240" width="10" style="248"/>
    <col min="10241" max="10241" width="35.83203125" style="248" customWidth="1"/>
    <col min="10242" max="10242" width="12" style="248" bestFit="1" customWidth="1"/>
    <col min="10243" max="10243" width="8.08203125" style="248" customWidth="1"/>
    <col min="10244" max="10244" width="11.58203125" style="248" customWidth="1"/>
    <col min="10245" max="10245" width="12.5" style="248" customWidth="1"/>
    <col min="10246" max="10246" width="12.75" style="248" bestFit="1" customWidth="1"/>
    <col min="10247" max="10496" width="10" style="248"/>
    <col min="10497" max="10497" width="35.83203125" style="248" customWidth="1"/>
    <col min="10498" max="10498" width="12" style="248" bestFit="1" customWidth="1"/>
    <col min="10499" max="10499" width="8.08203125" style="248" customWidth="1"/>
    <col min="10500" max="10500" width="11.58203125" style="248" customWidth="1"/>
    <col min="10501" max="10501" width="12.5" style="248" customWidth="1"/>
    <col min="10502" max="10502" width="12.75" style="248" bestFit="1" customWidth="1"/>
    <col min="10503" max="10752" width="10" style="248"/>
    <col min="10753" max="10753" width="35.83203125" style="248" customWidth="1"/>
    <col min="10754" max="10754" width="12" style="248" bestFit="1" customWidth="1"/>
    <col min="10755" max="10755" width="8.08203125" style="248" customWidth="1"/>
    <col min="10756" max="10756" width="11.58203125" style="248" customWidth="1"/>
    <col min="10757" max="10757" width="12.5" style="248" customWidth="1"/>
    <col min="10758" max="10758" width="12.75" style="248" bestFit="1" customWidth="1"/>
    <col min="10759" max="11008" width="10" style="248"/>
    <col min="11009" max="11009" width="35.83203125" style="248" customWidth="1"/>
    <col min="11010" max="11010" width="12" style="248" bestFit="1" customWidth="1"/>
    <col min="11011" max="11011" width="8.08203125" style="248" customWidth="1"/>
    <col min="11012" max="11012" width="11.58203125" style="248" customWidth="1"/>
    <col min="11013" max="11013" width="12.5" style="248" customWidth="1"/>
    <col min="11014" max="11014" width="12.75" style="248" bestFit="1" customWidth="1"/>
    <col min="11015" max="11264" width="10" style="248"/>
    <col min="11265" max="11265" width="35.83203125" style="248" customWidth="1"/>
    <col min="11266" max="11266" width="12" style="248" bestFit="1" customWidth="1"/>
    <col min="11267" max="11267" width="8.08203125" style="248" customWidth="1"/>
    <col min="11268" max="11268" width="11.58203125" style="248" customWidth="1"/>
    <col min="11269" max="11269" width="12.5" style="248" customWidth="1"/>
    <col min="11270" max="11270" width="12.75" style="248" bestFit="1" customWidth="1"/>
    <col min="11271" max="11520" width="10" style="248"/>
    <col min="11521" max="11521" width="35.83203125" style="248" customWidth="1"/>
    <col min="11522" max="11522" width="12" style="248" bestFit="1" customWidth="1"/>
    <col min="11523" max="11523" width="8.08203125" style="248" customWidth="1"/>
    <col min="11524" max="11524" width="11.58203125" style="248" customWidth="1"/>
    <col min="11525" max="11525" width="12.5" style="248" customWidth="1"/>
    <col min="11526" max="11526" width="12.75" style="248" bestFit="1" customWidth="1"/>
    <col min="11527" max="11776" width="10" style="248"/>
    <col min="11777" max="11777" width="35.83203125" style="248" customWidth="1"/>
    <col min="11778" max="11778" width="12" style="248" bestFit="1" customWidth="1"/>
    <col min="11779" max="11779" width="8.08203125" style="248" customWidth="1"/>
    <col min="11780" max="11780" width="11.58203125" style="248" customWidth="1"/>
    <col min="11781" max="11781" width="12.5" style="248" customWidth="1"/>
    <col min="11782" max="11782" width="12.75" style="248" bestFit="1" customWidth="1"/>
    <col min="11783" max="12032" width="10" style="248"/>
    <col min="12033" max="12033" width="35.83203125" style="248" customWidth="1"/>
    <col min="12034" max="12034" width="12" style="248" bestFit="1" customWidth="1"/>
    <col min="12035" max="12035" width="8.08203125" style="248" customWidth="1"/>
    <col min="12036" max="12036" width="11.58203125" style="248" customWidth="1"/>
    <col min="12037" max="12037" width="12.5" style="248" customWidth="1"/>
    <col min="12038" max="12038" width="12.75" style="248" bestFit="1" customWidth="1"/>
    <col min="12039" max="12288" width="10" style="248"/>
    <col min="12289" max="12289" width="35.83203125" style="248" customWidth="1"/>
    <col min="12290" max="12290" width="12" style="248" bestFit="1" customWidth="1"/>
    <col min="12291" max="12291" width="8.08203125" style="248" customWidth="1"/>
    <col min="12292" max="12292" width="11.58203125" style="248" customWidth="1"/>
    <col min="12293" max="12293" width="12.5" style="248" customWidth="1"/>
    <col min="12294" max="12294" width="12.75" style="248" bestFit="1" customWidth="1"/>
    <col min="12295" max="12544" width="10" style="248"/>
    <col min="12545" max="12545" width="35.83203125" style="248" customWidth="1"/>
    <col min="12546" max="12546" width="12" style="248" bestFit="1" customWidth="1"/>
    <col min="12547" max="12547" width="8.08203125" style="248" customWidth="1"/>
    <col min="12548" max="12548" width="11.58203125" style="248" customWidth="1"/>
    <col min="12549" max="12549" width="12.5" style="248" customWidth="1"/>
    <col min="12550" max="12550" width="12.75" style="248" bestFit="1" customWidth="1"/>
    <col min="12551" max="12800" width="10" style="248"/>
    <col min="12801" max="12801" width="35.83203125" style="248" customWidth="1"/>
    <col min="12802" max="12802" width="12" style="248" bestFit="1" customWidth="1"/>
    <col min="12803" max="12803" width="8.08203125" style="248" customWidth="1"/>
    <col min="12804" max="12804" width="11.58203125" style="248" customWidth="1"/>
    <col min="12805" max="12805" width="12.5" style="248" customWidth="1"/>
    <col min="12806" max="12806" width="12.75" style="248" bestFit="1" customWidth="1"/>
    <col min="12807" max="13056" width="10" style="248"/>
    <col min="13057" max="13057" width="35.83203125" style="248" customWidth="1"/>
    <col min="13058" max="13058" width="12" style="248" bestFit="1" customWidth="1"/>
    <col min="13059" max="13059" width="8.08203125" style="248" customWidth="1"/>
    <col min="13060" max="13060" width="11.58203125" style="248" customWidth="1"/>
    <col min="13061" max="13061" width="12.5" style="248" customWidth="1"/>
    <col min="13062" max="13062" width="12.75" style="248" bestFit="1" customWidth="1"/>
    <col min="13063" max="13312" width="10" style="248"/>
    <col min="13313" max="13313" width="35.83203125" style="248" customWidth="1"/>
    <col min="13314" max="13314" width="12" style="248" bestFit="1" customWidth="1"/>
    <col min="13315" max="13315" width="8.08203125" style="248" customWidth="1"/>
    <col min="13316" max="13316" width="11.58203125" style="248" customWidth="1"/>
    <col min="13317" max="13317" width="12.5" style="248" customWidth="1"/>
    <col min="13318" max="13318" width="12.75" style="248" bestFit="1" customWidth="1"/>
    <col min="13319" max="13568" width="10" style="248"/>
    <col min="13569" max="13569" width="35.83203125" style="248" customWidth="1"/>
    <col min="13570" max="13570" width="12" style="248" bestFit="1" customWidth="1"/>
    <col min="13571" max="13571" width="8.08203125" style="248" customWidth="1"/>
    <col min="13572" max="13572" width="11.58203125" style="248" customWidth="1"/>
    <col min="13573" max="13573" width="12.5" style="248" customWidth="1"/>
    <col min="13574" max="13574" width="12.75" style="248" bestFit="1" customWidth="1"/>
    <col min="13575" max="13824" width="10" style="248"/>
    <col min="13825" max="13825" width="35.83203125" style="248" customWidth="1"/>
    <col min="13826" max="13826" width="12" style="248" bestFit="1" customWidth="1"/>
    <col min="13827" max="13827" width="8.08203125" style="248" customWidth="1"/>
    <col min="13828" max="13828" width="11.58203125" style="248" customWidth="1"/>
    <col min="13829" max="13829" width="12.5" style="248" customWidth="1"/>
    <col min="13830" max="13830" width="12.75" style="248" bestFit="1" customWidth="1"/>
    <col min="13831" max="14080" width="10" style="248"/>
    <col min="14081" max="14081" width="35.83203125" style="248" customWidth="1"/>
    <col min="14082" max="14082" width="12" style="248" bestFit="1" customWidth="1"/>
    <col min="14083" max="14083" width="8.08203125" style="248" customWidth="1"/>
    <col min="14084" max="14084" width="11.58203125" style="248" customWidth="1"/>
    <col min="14085" max="14085" width="12.5" style="248" customWidth="1"/>
    <col min="14086" max="14086" width="12.75" style="248" bestFit="1" customWidth="1"/>
    <col min="14087" max="14336" width="10" style="248"/>
    <col min="14337" max="14337" width="35.83203125" style="248" customWidth="1"/>
    <col min="14338" max="14338" width="12" style="248" bestFit="1" customWidth="1"/>
    <col min="14339" max="14339" width="8.08203125" style="248" customWidth="1"/>
    <col min="14340" max="14340" width="11.58203125" style="248" customWidth="1"/>
    <col min="14341" max="14341" width="12.5" style="248" customWidth="1"/>
    <col min="14342" max="14342" width="12.75" style="248" bestFit="1" customWidth="1"/>
    <col min="14343" max="14592" width="10" style="248"/>
    <col min="14593" max="14593" width="35.83203125" style="248" customWidth="1"/>
    <col min="14594" max="14594" width="12" style="248" bestFit="1" customWidth="1"/>
    <col min="14595" max="14595" width="8.08203125" style="248" customWidth="1"/>
    <col min="14596" max="14596" width="11.58203125" style="248" customWidth="1"/>
    <col min="14597" max="14597" width="12.5" style="248" customWidth="1"/>
    <col min="14598" max="14598" width="12.75" style="248" bestFit="1" customWidth="1"/>
    <col min="14599" max="14848" width="10" style="248"/>
    <col min="14849" max="14849" width="35.83203125" style="248" customWidth="1"/>
    <col min="14850" max="14850" width="12" style="248" bestFit="1" customWidth="1"/>
    <col min="14851" max="14851" width="8.08203125" style="248" customWidth="1"/>
    <col min="14852" max="14852" width="11.58203125" style="248" customWidth="1"/>
    <col min="14853" max="14853" width="12.5" style="248" customWidth="1"/>
    <col min="14854" max="14854" width="12.75" style="248" bestFit="1" customWidth="1"/>
    <col min="14855" max="15104" width="10" style="248"/>
    <col min="15105" max="15105" width="35.83203125" style="248" customWidth="1"/>
    <col min="15106" max="15106" width="12" style="248" bestFit="1" customWidth="1"/>
    <col min="15107" max="15107" width="8.08203125" style="248" customWidth="1"/>
    <col min="15108" max="15108" width="11.58203125" style="248" customWidth="1"/>
    <col min="15109" max="15109" width="12.5" style="248" customWidth="1"/>
    <col min="15110" max="15110" width="12.75" style="248" bestFit="1" customWidth="1"/>
    <col min="15111" max="15360" width="10" style="248"/>
    <col min="15361" max="15361" width="35.83203125" style="248" customWidth="1"/>
    <col min="15362" max="15362" width="12" style="248" bestFit="1" customWidth="1"/>
    <col min="15363" max="15363" width="8.08203125" style="248" customWidth="1"/>
    <col min="15364" max="15364" width="11.58203125" style="248" customWidth="1"/>
    <col min="15365" max="15365" width="12.5" style="248" customWidth="1"/>
    <col min="15366" max="15366" width="12.75" style="248" bestFit="1" customWidth="1"/>
    <col min="15367" max="15616" width="10" style="248"/>
    <col min="15617" max="15617" width="35.83203125" style="248" customWidth="1"/>
    <col min="15618" max="15618" width="12" style="248" bestFit="1" customWidth="1"/>
    <col min="15619" max="15619" width="8.08203125" style="248" customWidth="1"/>
    <col min="15620" max="15620" width="11.58203125" style="248" customWidth="1"/>
    <col min="15621" max="15621" width="12.5" style="248" customWidth="1"/>
    <col min="15622" max="15622" width="12.75" style="248" bestFit="1" customWidth="1"/>
    <col min="15623" max="15872" width="10" style="248"/>
    <col min="15873" max="15873" width="35.83203125" style="248" customWidth="1"/>
    <col min="15874" max="15874" width="12" style="248" bestFit="1" customWidth="1"/>
    <col min="15875" max="15875" width="8.08203125" style="248" customWidth="1"/>
    <col min="15876" max="15876" width="11.58203125" style="248" customWidth="1"/>
    <col min="15877" max="15877" width="12.5" style="248" customWidth="1"/>
    <col min="15878" max="15878" width="12.75" style="248" bestFit="1" customWidth="1"/>
    <col min="15879" max="16128" width="10" style="248"/>
    <col min="16129" max="16129" width="35.83203125" style="248" customWidth="1"/>
    <col min="16130" max="16130" width="12" style="248" bestFit="1" customWidth="1"/>
    <col min="16131" max="16131" width="8.08203125" style="248" customWidth="1"/>
    <col min="16132" max="16132" width="11.58203125" style="248" customWidth="1"/>
    <col min="16133" max="16133" width="12.5" style="248" customWidth="1"/>
    <col min="16134" max="16134" width="12.75" style="248" bestFit="1" customWidth="1"/>
    <col min="16135" max="16384" width="10" style="248"/>
  </cols>
  <sheetData>
    <row r="1" spans="1:13" s="245" customFormat="1">
      <c r="A1" s="518" t="s">
        <v>415</v>
      </c>
      <c r="B1" s="518"/>
      <c r="C1" s="518"/>
      <c r="D1" s="518"/>
      <c r="E1" s="518"/>
      <c r="F1" s="518"/>
      <c r="G1" s="518"/>
      <c r="H1" s="518"/>
      <c r="I1" s="518"/>
      <c r="J1" s="518"/>
      <c r="K1" s="518"/>
      <c r="L1" s="518"/>
    </row>
    <row r="2" spans="1:13" s="245" customFormat="1">
      <c r="A2" s="295" t="s">
        <v>573</v>
      </c>
      <c r="B2" s="295"/>
      <c r="C2" s="295"/>
      <c r="D2" s="295"/>
      <c r="E2" s="295"/>
      <c r="F2" s="296"/>
      <c r="G2" s="246"/>
      <c r="H2" s="246"/>
      <c r="I2" s="246"/>
      <c r="J2" s="246"/>
      <c r="K2" s="246"/>
      <c r="L2" s="246"/>
      <c r="M2" s="246"/>
    </row>
    <row r="3" spans="1:13" s="245" customFormat="1">
      <c r="A3" s="295" t="s">
        <v>412</v>
      </c>
      <c r="B3" s="295"/>
      <c r="C3" s="295"/>
      <c r="D3" s="295"/>
      <c r="E3" s="295"/>
      <c r="F3" s="296"/>
      <c r="G3" s="246"/>
      <c r="H3" s="246"/>
      <c r="I3" s="246"/>
      <c r="J3" s="246"/>
      <c r="K3" s="246"/>
      <c r="L3" s="246"/>
      <c r="M3" s="246"/>
    </row>
    <row r="4" spans="1:13" s="245" customFormat="1">
      <c r="A4" s="295" t="s">
        <v>515</v>
      </c>
      <c r="B4" s="295"/>
      <c r="C4" s="295"/>
      <c r="D4" s="295"/>
      <c r="E4" s="295"/>
      <c r="F4" s="296"/>
      <c r="G4" s="246"/>
      <c r="H4" s="246"/>
      <c r="I4" s="246"/>
      <c r="J4" s="246"/>
      <c r="K4" s="246"/>
      <c r="L4" s="246"/>
      <c r="M4" s="246"/>
    </row>
    <row r="5" spans="1:13" s="245" customFormat="1">
      <c r="A5" s="295" t="s">
        <v>389</v>
      </c>
      <c r="B5" s="315">
        <f>F16</f>
        <v>772500</v>
      </c>
      <c r="C5" s="295"/>
      <c r="D5" s="295"/>
      <c r="E5" s="295"/>
      <c r="F5" s="296"/>
      <c r="G5" s="246"/>
      <c r="H5" s="246"/>
      <c r="I5" s="246"/>
      <c r="J5" s="246"/>
      <c r="K5" s="246"/>
      <c r="L5" s="246"/>
      <c r="M5" s="246"/>
    </row>
    <row r="6" spans="1:13" s="245" customFormat="1">
      <c r="A6" s="519" t="s">
        <v>416</v>
      </c>
      <c r="B6" s="519"/>
      <c r="C6" s="519"/>
      <c r="D6" s="519"/>
      <c r="E6" s="520"/>
      <c r="F6" s="416"/>
      <c r="G6" s="520" t="s">
        <v>390</v>
      </c>
      <c r="H6" s="521"/>
      <c r="I6" s="521"/>
      <c r="J6" s="521"/>
      <c r="K6" s="521"/>
      <c r="L6" s="522"/>
      <c r="M6" s="247" t="s">
        <v>391</v>
      </c>
    </row>
    <row r="7" spans="1:13" ht="18">
      <c r="A7" s="392" t="s">
        <v>392</v>
      </c>
      <c r="B7" s="247" t="s">
        <v>393</v>
      </c>
      <c r="C7" s="393" t="s">
        <v>394</v>
      </c>
      <c r="D7" s="393" t="s">
        <v>395</v>
      </c>
      <c r="E7" s="393" t="s">
        <v>396</v>
      </c>
      <c r="F7" s="394" t="s">
        <v>397</v>
      </c>
      <c r="G7" s="247" t="s">
        <v>392</v>
      </c>
      <c r="H7" s="247" t="s">
        <v>398</v>
      </c>
      <c r="I7" s="247" t="s">
        <v>399</v>
      </c>
      <c r="J7" s="247" t="s">
        <v>400</v>
      </c>
      <c r="K7" s="247" t="s">
        <v>401</v>
      </c>
      <c r="L7" s="247" t="s">
        <v>402</v>
      </c>
      <c r="M7" s="247"/>
    </row>
    <row r="8" spans="1:13" ht="18">
      <c r="A8" s="392" t="s">
        <v>422</v>
      </c>
      <c r="B8" s="247"/>
      <c r="C8" s="393"/>
      <c r="D8" s="393"/>
      <c r="E8" s="395"/>
      <c r="F8" s="394"/>
      <c r="G8" s="247"/>
      <c r="H8" s="247"/>
      <c r="I8" s="247"/>
      <c r="J8" s="247"/>
      <c r="K8" s="247"/>
      <c r="L8" s="247"/>
      <c r="M8" s="247"/>
    </row>
    <row r="9" spans="1:13">
      <c r="A9" s="302" t="s">
        <v>438</v>
      </c>
      <c r="B9" s="299"/>
      <c r="C9" s="300"/>
      <c r="D9" s="299"/>
      <c r="E9" s="304"/>
      <c r="F9" s="301"/>
      <c r="G9" s="247"/>
      <c r="H9" s="247"/>
      <c r="I9" s="247"/>
      <c r="J9" s="247"/>
      <c r="K9" s="247"/>
      <c r="L9" s="247"/>
      <c r="M9" s="247"/>
    </row>
    <row r="10" spans="1:13">
      <c r="A10" s="299" t="s">
        <v>491</v>
      </c>
      <c r="B10" s="299"/>
      <c r="C10" s="300">
        <v>20</v>
      </c>
      <c r="D10" s="299">
        <v>1</v>
      </c>
      <c r="E10" s="304">
        <v>7500</v>
      </c>
      <c r="F10" s="304">
        <f>C10*D10*E10</f>
        <v>150000</v>
      </c>
      <c r="G10" s="247"/>
      <c r="H10" s="247"/>
      <c r="I10" s="247"/>
      <c r="J10" s="247"/>
      <c r="K10" s="247"/>
      <c r="L10" s="247"/>
      <c r="M10" s="247"/>
    </row>
    <row r="11" spans="1:13">
      <c r="A11" s="299" t="s">
        <v>492</v>
      </c>
      <c r="B11" s="299"/>
      <c r="C11" s="300">
        <v>10</v>
      </c>
      <c r="D11" s="299">
        <v>1</v>
      </c>
      <c r="E11" s="304">
        <v>7500</v>
      </c>
      <c r="F11" s="304">
        <f t="shared" ref="F11:F14" si="0">C11*D11*E11</f>
        <v>75000</v>
      </c>
      <c r="G11" s="247"/>
      <c r="H11" s="247"/>
      <c r="I11" s="247"/>
      <c r="J11" s="247"/>
      <c r="K11" s="247"/>
      <c r="L11" s="247"/>
      <c r="M11" s="247"/>
    </row>
    <row r="12" spans="1:13">
      <c r="A12" s="299" t="s">
        <v>453</v>
      </c>
      <c r="B12" s="299"/>
      <c r="C12" s="300">
        <v>2</v>
      </c>
      <c r="D12" s="299">
        <v>1</v>
      </c>
      <c r="E12" s="304">
        <v>7500</v>
      </c>
      <c r="F12" s="304">
        <f t="shared" si="0"/>
        <v>15000</v>
      </c>
      <c r="G12" s="247"/>
      <c r="H12" s="247"/>
      <c r="I12" s="247"/>
      <c r="J12" s="247"/>
      <c r="K12" s="247"/>
      <c r="L12" s="247"/>
      <c r="M12" s="247"/>
    </row>
    <row r="13" spans="1:13">
      <c r="A13" s="299" t="s">
        <v>524</v>
      </c>
      <c r="B13" s="299"/>
      <c r="C13" s="300">
        <v>7</v>
      </c>
      <c r="D13" s="299">
        <v>1</v>
      </c>
      <c r="E13" s="304">
        <v>7500</v>
      </c>
      <c r="F13" s="304">
        <f t="shared" si="0"/>
        <v>52500</v>
      </c>
      <c r="G13" s="247"/>
      <c r="H13" s="247"/>
      <c r="I13" s="247"/>
      <c r="J13" s="247"/>
      <c r="K13" s="247"/>
      <c r="L13" s="247"/>
      <c r="M13" s="247"/>
    </row>
    <row r="14" spans="1:13">
      <c r="A14" s="299" t="s">
        <v>523</v>
      </c>
      <c r="B14" s="299"/>
      <c r="C14" s="300">
        <v>9</v>
      </c>
      <c r="D14" s="299">
        <v>1</v>
      </c>
      <c r="E14" s="304">
        <v>0</v>
      </c>
      <c r="F14" s="304">
        <f t="shared" si="0"/>
        <v>0</v>
      </c>
      <c r="G14" s="247"/>
      <c r="H14" s="247"/>
      <c r="I14" s="247"/>
      <c r="J14" s="247"/>
      <c r="K14" s="247"/>
      <c r="L14" s="247"/>
      <c r="M14" s="247"/>
    </row>
    <row r="15" spans="1:13">
      <c r="A15" s="299" t="s">
        <v>407</v>
      </c>
      <c r="B15" s="299"/>
      <c r="C15" s="314">
        <f>SUM(C10:C14)</f>
        <v>48</v>
      </c>
      <c r="D15" s="299">
        <v>1</v>
      </c>
      <c r="E15" s="304">
        <v>10000</v>
      </c>
      <c r="F15" s="304">
        <f>C15*D15*E15</f>
        <v>480000</v>
      </c>
      <c r="G15" s="247"/>
      <c r="H15" s="247"/>
      <c r="I15" s="247"/>
      <c r="J15" s="247"/>
      <c r="K15" s="247"/>
      <c r="L15" s="247"/>
      <c r="M15" s="247"/>
    </row>
    <row r="16" spans="1:13">
      <c r="A16" s="417" t="s">
        <v>406</v>
      </c>
      <c r="B16" s="417"/>
      <c r="C16" s="418"/>
      <c r="D16" s="418"/>
      <c r="E16" s="418"/>
      <c r="F16" s="433">
        <f>SUM(F10:F15)</f>
        <v>772500</v>
      </c>
      <c r="G16" s="247"/>
      <c r="H16" s="247"/>
      <c r="I16" s="247"/>
      <c r="J16" s="247"/>
      <c r="K16" s="247"/>
      <c r="L16" s="247"/>
      <c r="M16" s="247"/>
    </row>
    <row r="17" spans="1:6" s="385" customFormat="1" ht="20.5">
      <c r="A17" s="517" t="s">
        <v>564</v>
      </c>
      <c r="B17" s="517"/>
      <c r="C17" s="428"/>
    </row>
    <row r="18" spans="1:6">
      <c r="D18" s="309"/>
      <c r="F18" s="311"/>
    </row>
  </sheetData>
  <mergeCells count="4">
    <mergeCell ref="A1:L1"/>
    <mergeCell ref="A6:E6"/>
    <mergeCell ref="G6:L6"/>
    <mergeCell ref="A17:B17"/>
  </mergeCells>
  <conditionalFormatting sqref="E17">
    <cfRule type="cellIs" dxfId="10" priority="1" stopIfTrue="1"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mso-contentType ?>
<customXsn xmlns="http://schemas.microsoft.com/office/2006/metadata/customXsn">
  <xsnLocation/>
  <cached>True</cached>
  <openByDefault>True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Guinea Bissau-6850</TermName>
          <TermId xmlns="http://schemas.microsoft.com/office/infopath/2007/PartnerControls">859bb032-47e3-4c88-b48d-c9c3c81ccf58</TermId>
        </TermInfo>
      </Terms>
    </ga975397408f43e4b84ec8e5a598e523>
    <TaxCatchAll xmlns="ca283e0b-db31-4043-a2ef-b80661bf084a">
      <Value>2</Value>
    </TaxCatchAll>
    <ContentLanguage xmlns="ca283e0b-db31-4043-a2ef-b80661bf084a">English</ContentLanguage>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TaxKeywordTaxHTField xmlns="f33f7d5f-e6b9-40e9-961f-fe0fddf1989c">
      <Terms xmlns="http://schemas.microsoft.com/office/infopath/2007/PartnerControls"/>
    </TaxKeywordTaxHTField>
    <SenderEmail xmlns="ca283e0b-db31-4043-a2ef-b80661bf084a" xsi:nil="true"/>
    <IconOverlay xmlns="http://schemas.microsoft.com/sharepoint/v4" xsi:nil="tru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SemaphoreItemMetadata xmlns="f33f7d5f-e6b9-40e9-961f-fe0fddf1989c" xsi:nil="true"/>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5.xml><?xml version="1.0" encoding="utf-8"?>
<?mso-contentType ?>
<SharedContentType xmlns="Microsoft.SharePoint.Taxonomy.ContentTypeSync" SourceId="73f51738-d318-4883-9d64-4f0bd0ccc55e" ContentTypeId="0x0101009BA85F8052A6DA4FA3E31FF9F74C6970" PreviousValue="false"/>
</file>

<file path=customXml/item6.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D2528AC445BDE443B69633C11708FE91" ma:contentTypeVersion="49" ma:contentTypeDescription="" ma:contentTypeScope="" ma:versionID="f146dacee2584b59d25c797804b15c6b">
  <xsd:schema xmlns:xsd="http://www.w3.org/2001/XMLSchema" xmlns:xs="http://www.w3.org/2001/XMLSchema" xmlns:p="http://schemas.microsoft.com/office/2006/metadata/properties" xmlns:ns1="http://schemas.microsoft.com/sharepoint/v3" xmlns:ns2="ca283e0b-db31-4043-a2ef-b80661bf084a" xmlns:ns3="http://schemas.microsoft.com/sharepoint.v3" xmlns:ns4="f33f7d5f-e6b9-40e9-961f-fe0fddf1989c" xmlns:ns5="a1fdfe2f-3aad-47e3-9575-6ea1e0efbc8d" xmlns:ns6="http://schemas.microsoft.com/sharepoint/v4" targetNamespace="http://schemas.microsoft.com/office/2006/metadata/properties" ma:root="true" ma:fieldsID="6296a1e12e1cc59cae889f2f3215eca7" ns1:_="" ns2:_="" ns3:_="" ns4:_="" ns5:_="" ns6:_="">
    <xsd:import namespace="http://schemas.microsoft.com/sharepoint/v3"/>
    <xsd:import namespace="ca283e0b-db31-4043-a2ef-b80661bf084a"/>
    <xsd:import namespace="http://schemas.microsoft.com/sharepoint.v3"/>
    <xsd:import namespace="f33f7d5f-e6b9-40e9-961f-fe0fddf1989c"/>
    <xsd:import namespace="a1fdfe2f-3aad-47e3-9575-6ea1e0efbc8d"/>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AutoKeyPoints" minOccurs="0"/>
                <xsd:element ref="ns5:MediaServiceKeyPoints" minOccurs="0"/>
                <xsd:element ref="ns5:MediaServiceDateTaken" minOccurs="0"/>
                <xsd:element ref="ns4:SharedWithUsers" minOccurs="0"/>
                <xsd:element ref="ns4:SharedWithDetail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3" nillable="true" ma:displayName="Declared Record" ma:hidden="true" ma:internalName="_vti_ItemDeclaredRecord" ma:readOnly="true">
      <xsd:simpleType>
        <xsd:restriction base="dms:DateTime"/>
      </xsd:simpleType>
    </xsd:element>
    <xsd:element name="_vti_ItemHoldRecordStatus" ma:index="44"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80;#Guinea Bissau-6850|859bb032-47e3-4c88-b48d-c9c3c81ccf58"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45ab32d6-bb50-4954-9154-4bed69e88049}" ma:internalName="TaxCatchAllLabel" ma:readOnly="true" ma:showField="CatchAllDataLabel" ma:web="f33f7d5f-e6b9-40e9-961f-fe0fddf1989c">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45ab32d6-bb50-4954-9154-4bed69e88049}" ma:internalName="TaxCatchAll" ma:showField="CatchAllData" ma:web="f33f7d5f-e6b9-40e9-961f-fe0fddf1989c">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3f7d5f-e6b9-40e9-961f-fe0fddf1989c" elementFormDefault="qualified">
    <xsd:import namespace="http://schemas.microsoft.com/office/2006/documentManagement/types"/>
    <xsd:import namespace="http://schemas.microsoft.com/office/infopath/2007/PartnerControls"/>
    <xsd:element name="SharedWithUsers" ma:index="4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internalName="SharedWithDetails" ma:readOnly="true">
      <xsd:simpleType>
        <xsd:restriction base="dms:Note">
          <xsd:maxLength value="255"/>
        </xsd:restriction>
      </xsd:simpleType>
    </xsd:element>
    <xsd:element name="TaxKeywordTaxHTField" ma:index="4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6"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fdfe2f-3aad-47e3-9575-6ea1e0efbc8d"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LengthInSeconds" ma:index="4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CADAAD-A15B-4BCC-B5DE-F178E3A64E7B}">
  <ds:schemaRefs>
    <ds:schemaRef ds:uri="http://schemas.microsoft.com/sharepoint/v3/contenttype/forms"/>
  </ds:schemaRefs>
</ds:datastoreItem>
</file>

<file path=customXml/itemProps2.xml><?xml version="1.0" encoding="utf-8"?>
<ds:datastoreItem xmlns:ds="http://schemas.openxmlformats.org/officeDocument/2006/customXml" ds:itemID="{72334513-AE11-43FC-8788-EAFDFE079E55}">
  <ds:schemaRefs>
    <ds:schemaRef ds:uri="http://schemas.microsoft.com/sharepoint/events"/>
  </ds:schemaRefs>
</ds:datastoreItem>
</file>

<file path=customXml/itemProps3.xml><?xml version="1.0" encoding="utf-8"?>
<ds:datastoreItem xmlns:ds="http://schemas.openxmlformats.org/officeDocument/2006/customXml" ds:itemID="{C4D5C6E4-5D98-4BD0-82FE-553182F4931A}">
  <ds:schemaRefs>
    <ds:schemaRef ds:uri="http://schemas.microsoft.com/office/2006/metadata/customXsn"/>
  </ds:schemaRefs>
</ds:datastoreItem>
</file>

<file path=customXml/itemProps4.xml><?xml version="1.0" encoding="utf-8"?>
<ds:datastoreItem xmlns:ds="http://schemas.openxmlformats.org/officeDocument/2006/customXml" ds:itemID="{9222CFAF-BFDE-4834-99B1-2061C14E0605}">
  <ds:schemaRefs>
    <ds:schemaRef ds:uri="http://purl.org/dc/dcmitype/"/>
    <ds:schemaRef ds:uri="http://purl.org/dc/terms/"/>
    <ds:schemaRef ds:uri="http://schemas.microsoft.com/office/infopath/2007/PartnerControls"/>
    <ds:schemaRef ds:uri="http://www.w3.org/XML/1998/namespace"/>
    <ds:schemaRef ds:uri="http://schemas.microsoft.com/sharepoint/v3"/>
    <ds:schemaRef ds:uri="http://schemas.microsoft.com/sharepoint.v3"/>
    <ds:schemaRef ds:uri="http://schemas.microsoft.com/office/2006/documentManagement/types"/>
    <ds:schemaRef ds:uri="ca283e0b-db31-4043-a2ef-b80661bf084a"/>
    <ds:schemaRef ds:uri="http://purl.org/dc/elements/1.1/"/>
    <ds:schemaRef ds:uri="http://schemas.openxmlformats.org/package/2006/metadata/core-properties"/>
    <ds:schemaRef ds:uri="http://schemas.microsoft.com/office/2006/metadata/properties"/>
    <ds:schemaRef ds:uri="http://schemas.microsoft.com/sharepoint/v4"/>
    <ds:schemaRef ds:uri="a1fdfe2f-3aad-47e3-9575-6ea1e0efbc8d"/>
    <ds:schemaRef ds:uri="f33f7d5f-e6b9-40e9-961f-fe0fddf1989c"/>
  </ds:schemaRefs>
</ds:datastoreItem>
</file>

<file path=customXml/itemProps5.xml><?xml version="1.0" encoding="utf-8"?>
<ds:datastoreItem xmlns:ds="http://schemas.openxmlformats.org/officeDocument/2006/customXml" ds:itemID="{D69B135B-39B8-4E80-AB99-CB282ADF55B2}">
  <ds:schemaRefs>
    <ds:schemaRef ds:uri="Microsoft.SharePoint.Taxonomy.ContentTypeSync"/>
  </ds:schemaRefs>
</ds:datastoreItem>
</file>

<file path=customXml/itemProps6.xml><?xml version="1.0" encoding="utf-8"?>
<ds:datastoreItem xmlns:ds="http://schemas.openxmlformats.org/officeDocument/2006/customXml" ds:itemID="{4B991148-0D30-458B-B418-D57AE502B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f33f7d5f-e6b9-40e9-961f-fe0fddf1989c"/>
    <ds:schemaRef ds:uri="a1fdfe2f-3aad-47e3-9575-6ea1e0efbc8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20</vt:i4>
      </vt:variant>
    </vt:vector>
  </HeadingPairs>
  <TitlesOfParts>
    <vt:vector size="20" baseType="lpstr">
      <vt:lpstr>FACE Introduçao Malária</vt:lpstr>
      <vt:lpstr>Orcamento geral</vt:lpstr>
      <vt:lpstr>1. Adquirir cartões de vacinas</vt:lpstr>
      <vt:lpstr>2. Workshop ferramentas</vt:lpstr>
      <vt:lpstr>3 funcionamento</vt:lpstr>
      <vt:lpstr>4  impressao</vt:lpstr>
      <vt:lpstr>5 coordenacao</vt:lpstr>
      <vt:lpstr>6 adaptar modulosMenA</vt:lpstr>
      <vt:lpstr>7 atelier validar modulo</vt:lpstr>
      <vt:lpstr>8 formacao de formadores NC</vt:lpstr>
      <vt:lpstr>9 Formação de formadores N. Reg</vt:lpstr>
      <vt:lpstr>10 Plano comunicacao</vt:lpstr>
      <vt:lpstr>11 distribuicao vacinas Malária</vt:lpstr>
      <vt:lpstr>12 seguimento post MenA</vt:lpstr>
      <vt:lpstr>13 avaliacao post</vt:lpstr>
      <vt:lpstr>14 gestao MAPI Malária</vt:lpstr>
      <vt:lpstr>15 formacao plano comunica</vt:lpstr>
      <vt:lpstr>Orçamento geral Malária</vt:lpstr>
      <vt:lpstr>Sheet16</vt:lpstr>
      <vt:lpstr>Orcamento detalhado VAS2 2022</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Taylor</dc:creator>
  <cp:keywords/>
  <dc:description/>
  <cp:lastModifiedBy>Lenovo</cp:lastModifiedBy>
  <cp:revision/>
  <cp:lastPrinted>2023-05-05T13:13:56Z</cp:lastPrinted>
  <dcterms:created xsi:type="dcterms:W3CDTF">2015-05-22T10:34:38Z</dcterms:created>
  <dcterms:modified xsi:type="dcterms:W3CDTF">2024-10-14T15:49:03Z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0x0101009BA85F8052A6DA4FA3E31FF9F74C697000D2528AC445BDE443B69633C11708FE91</vt:lpwstr>
  </property>
  <property fmtid="{D5CDD505-2E9C-101B-9397-08002B2CF9AE}" pid="3" name="OfficeDivision">
    <vt:lpwstr>2;#Guinea Bissau-6850|859bb032-47e3-4c88-b48d-c9c3c81ccf58</vt:lpwstr>
  </property>
  <property fmtid="{D5CDD505-2E9C-101B-9397-08002B2CF9AE}" pid="4" name="TaxKeyword">
    <vt:lpwstr/>
  </property>
  <property fmtid="{D5CDD505-2E9C-101B-9397-08002B2CF9AE}" pid="5" name="SystemDTAC">
    <vt:lpwstr/>
  </property>
  <property fmtid="{D5CDD505-2E9C-101B-9397-08002B2CF9AE}" pid="6" name="Topic">
    <vt:lpwstr/>
  </property>
  <property fmtid="{D5CDD505-2E9C-101B-9397-08002B2CF9AE}" pid="7" name="CriticalForLongTermRetention">
    <vt:lpwstr/>
  </property>
  <property fmtid="{D5CDD505-2E9C-101B-9397-08002B2CF9AE}" pid="8" name="DocumentType">
    <vt:lpwstr/>
  </property>
  <property fmtid="{D5CDD505-2E9C-101B-9397-08002B2CF9AE}" pid="9" name="GeographicScope">
    <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